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0" windowWidth="15120" windowHeight="6930"/>
  </bookViews>
  <sheets>
    <sheet name="COMPOSIÇÃO UNITÁRIA" sheetId="6" r:id="rId1"/>
  </sheets>
  <definedNames>
    <definedName name="_xlnm.Print_Area" localSheetId="0">'COMPOSIÇÃO UNITÁRIA'!$A$1:$I$1959</definedName>
    <definedName name="_xlnm.Print_Titles" localSheetId="0">'COMPOSIÇÃO UNITÁRIA'!$5:$7</definedName>
    <definedName name="Z_0CD45D8F_05C7_42F8_A20A_BF3038E14095_.wvu.PrintArea" localSheetId="0" hidden="1">'COMPOSIÇÃO UNITÁRIA'!$B$1:$I$7</definedName>
    <definedName name="Z_0CD45D8F_05C7_42F8_A20A_BF3038E14095_.wvu.PrintTitles" localSheetId="0" hidden="1">'COMPOSIÇÃO UNITÁRIA'!$3:$6</definedName>
  </definedNames>
  <calcPr calcId="144525" fullPrecision="0"/>
  <customWorkbookViews>
    <customWorkbookView name="fernando.almeida - Modo de exibição pessoal" guid="{0CD45D8F-05C7-42F8-A20A-BF3038E14095}" mergeInterval="0" personalView="1" maximized="1" xWindow="1" yWindow="1" windowWidth="1920" windowHeight="846" activeSheetId="1"/>
  </customWorkbookViews>
</workbook>
</file>

<file path=xl/calcChain.xml><?xml version="1.0" encoding="utf-8"?>
<calcChain xmlns="http://schemas.openxmlformats.org/spreadsheetml/2006/main">
  <c r="H1161" i="6" l="1"/>
  <c r="H1141" i="6"/>
  <c r="H1143" i="6"/>
  <c r="E1943" i="6"/>
  <c r="G1943" i="6" s="1"/>
  <c r="E1944" i="6"/>
  <c r="G1944" i="6" s="1"/>
  <c r="E1945" i="6"/>
  <c r="G1945" i="6" s="1"/>
  <c r="E1947" i="6"/>
  <c r="G1947" i="6" s="1"/>
  <c r="E1946" i="6"/>
  <c r="G1946" i="6" s="1"/>
  <c r="G1948" i="6"/>
  <c r="G1942" i="6"/>
  <c r="G1941" i="6"/>
  <c r="E1935" i="6"/>
  <c r="G1935" i="6" s="1"/>
  <c r="E1934" i="6"/>
  <c r="G1934" i="6" s="1"/>
  <c r="G1939" i="6"/>
  <c r="E1938" i="6"/>
  <c r="G1938" i="6" s="1"/>
  <c r="E1937" i="6"/>
  <c r="G1937" i="6" s="1"/>
  <c r="G1936" i="6"/>
  <c r="E1918" i="6"/>
  <c r="G1918" i="6" s="1"/>
  <c r="E1917" i="6"/>
  <c r="G1917" i="6" s="1"/>
  <c r="E1926" i="6"/>
  <c r="G1926" i="6" s="1"/>
  <c r="E1930" i="6"/>
  <c r="E1932" i="6" s="1"/>
  <c r="G1932" i="6" s="1"/>
  <c r="E1919" i="6"/>
  <c r="E1929" i="6" s="1"/>
  <c r="G1929" i="6" s="1"/>
  <c r="E1928" i="6"/>
  <c r="G1928" i="6" s="1"/>
  <c r="E1927" i="6"/>
  <c r="G1927" i="6" s="1"/>
  <c r="E1924" i="6"/>
  <c r="E1925" i="6" s="1"/>
  <c r="G1925" i="6" s="1"/>
  <c r="E1901" i="6"/>
  <c r="G1901" i="6" s="1"/>
  <c r="E1900" i="6"/>
  <c r="G1900" i="6" s="1"/>
  <c r="E1913" i="6"/>
  <c r="E1915" i="6" s="1"/>
  <c r="G1915" i="6" s="1"/>
  <c r="E1902" i="6"/>
  <c r="E1912" i="6" s="1"/>
  <c r="G1912" i="6" s="1"/>
  <c r="E1911" i="6"/>
  <c r="G1911" i="6" s="1"/>
  <c r="E1910" i="6"/>
  <c r="G1910" i="6" s="1"/>
  <c r="E1909" i="6"/>
  <c r="G1909" i="6" s="1"/>
  <c r="E1907" i="6"/>
  <c r="E1908" i="6" s="1"/>
  <c r="G1908" i="6" s="1"/>
  <c r="E1884" i="6"/>
  <c r="G1884" i="6" s="1"/>
  <c r="E1883" i="6"/>
  <c r="G1883" i="6" s="1"/>
  <c r="E1885" i="6"/>
  <c r="E1895" i="6" s="1"/>
  <c r="G1895" i="6" s="1"/>
  <c r="E1896" i="6"/>
  <c r="E1898" i="6" s="1"/>
  <c r="G1898" i="6" s="1"/>
  <c r="E1894" i="6"/>
  <c r="G1894" i="6" s="1"/>
  <c r="E1893" i="6"/>
  <c r="G1893" i="6" s="1"/>
  <c r="E1892" i="6"/>
  <c r="G1892" i="6" s="1"/>
  <c r="E1890" i="6"/>
  <c r="E1891" i="6" s="1"/>
  <c r="G1891" i="6" s="1"/>
  <c r="E1867" i="6"/>
  <c r="G1867" i="6" s="1"/>
  <c r="E1866" i="6"/>
  <c r="G1866" i="6" s="1"/>
  <c r="E1879" i="6"/>
  <c r="E1881" i="6" s="1"/>
  <c r="G1881" i="6" s="1"/>
  <c r="E1868" i="6"/>
  <c r="E1878" i="6" s="1"/>
  <c r="G1878" i="6" s="1"/>
  <c r="E1877" i="6"/>
  <c r="G1877" i="6" s="1"/>
  <c r="E1876" i="6"/>
  <c r="G1876" i="6" s="1"/>
  <c r="G1875" i="6"/>
  <c r="E1873" i="6"/>
  <c r="E1874" i="6" s="1"/>
  <c r="G1874" i="6" s="1"/>
  <c r="E1850" i="6"/>
  <c r="G1850" i="6" s="1"/>
  <c r="E1849" i="6"/>
  <c r="G1849" i="6" s="1"/>
  <c r="E1862" i="6"/>
  <c r="E1864" i="6" s="1"/>
  <c r="G1864" i="6" s="1"/>
  <c r="E1851" i="6"/>
  <c r="E1861" i="6" s="1"/>
  <c r="G1861" i="6" s="1"/>
  <c r="E1860" i="6"/>
  <c r="G1860" i="6" s="1"/>
  <c r="E1859" i="6"/>
  <c r="G1859" i="6" s="1"/>
  <c r="E1858" i="6"/>
  <c r="G1858" i="6" s="1"/>
  <c r="E1856" i="6"/>
  <c r="E1857" i="6" s="1"/>
  <c r="G1857" i="6" s="1"/>
  <c r="E1833" i="6"/>
  <c r="G1833" i="6" s="1"/>
  <c r="E1832" i="6"/>
  <c r="G1832" i="6" s="1"/>
  <c r="E1834" i="6"/>
  <c r="E1844" i="6" s="1"/>
  <c r="G1844" i="6" s="1"/>
  <c r="E1845" i="6"/>
  <c r="E1847" i="6" s="1"/>
  <c r="G1847" i="6" s="1"/>
  <c r="E1843" i="6"/>
  <c r="G1843" i="6" s="1"/>
  <c r="E1842" i="6"/>
  <c r="G1842" i="6" s="1"/>
  <c r="E1841" i="6"/>
  <c r="G1841" i="6" s="1"/>
  <c r="E1839" i="6"/>
  <c r="E1840" i="6" s="1"/>
  <c r="G1840" i="6" s="1"/>
  <c r="E1815" i="6"/>
  <c r="G1815" i="6" s="1"/>
  <c r="E1816" i="6"/>
  <c r="G1816" i="6" s="1"/>
  <c r="E1828" i="6"/>
  <c r="E1830" i="6" s="1"/>
  <c r="G1830" i="6" s="1"/>
  <c r="E1817" i="6"/>
  <c r="E1827" i="6" s="1"/>
  <c r="G1827" i="6" s="1"/>
  <c r="E1826" i="6"/>
  <c r="G1826" i="6" s="1"/>
  <c r="E1825" i="6"/>
  <c r="G1825" i="6" s="1"/>
  <c r="E1824" i="6"/>
  <c r="G1824" i="6" s="1"/>
  <c r="E1822" i="6"/>
  <c r="E1823" i="6" s="1"/>
  <c r="G1823" i="6" s="1"/>
  <c r="E1799" i="6"/>
  <c r="G1799" i="6" s="1"/>
  <c r="E1798" i="6"/>
  <c r="G1798" i="6" s="1"/>
  <c r="E1811" i="6"/>
  <c r="E1813" i="6" s="1"/>
  <c r="G1813" i="6" s="1"/>
  <c r="E1800" i="6"/>
  <c r="E1810" i="6" s="1"/>
  <c r="G1810" i="6" s="1"/>
  <c r="E1809" i="6"/>
  <c r="G1809" i="6" s="1"/>
  <c r="E1808" i="6"/>
  <c r="G1808" i="6" s="1"/>
  <c r="E1807" i="6"/>
  <c r="G1807" i="6" s="1"/>
  <c r="E1805" i="6"/>
  <c r="E1806" i="6" s="1"/>
  <c r="G1806" i="6" s="1"/>
  <c r="E1782" i="6"/>
  <c r="G1782" i="6" s="1"/>
  <c r="E1781" i="6"/>
  <c r="G1781" i="6"/>
  <c r="E1794" i="6"/>
  <c r="E1796" i="6" s="1"/>
  <c r="G1796" i="6" s="1"/>
  <c r="E1783" i="6"/>
  <c r="E1793" i="6" s="1"/>
  <c r="G1793" i="6" s="1"/>
  <c r="E1792" i="6"/>
  <c r="G1792" i="6" s="1"/>
  <c r="E1791" i="6"/>
  <c r="G1791" i="6" s="1"/>
  <c r="E1790" i="6"/>
  <c r="G1790" i="6" s="1"/>
  <c r="E1788" i="6"/>
  <c r="E1789" i="6" s="1"/>
  <c r="G1789" i="6" s="1"/>
  <c r="E1765" i="6"/>
  <c r="G1765" i="6" s="1"/>
  <c r="E1764" i="6"/>
  <c r="G1764" i="6" s="1"/>
  <c r="E1777" i="6"/>
  <c r="E1779" i="6" s="1"/>
  <c r="G1779" i="6" s="1"/>
  <c r="E1766" i="6"/>
  <c r="E1776" i="6" s="1"/>
  <c r="G1776" i="6" s="1"/>
  <c r="E1775" i="6"/>
  <c r="G1775" i="6" s="1"/>
  <c r="E1774" i="6"/>
  <c r="G1774" i="6" s="1"/>
  <c r="G1773" i="6"/>
  <c r="E1771" i="6"/>
  <c r="E1772" i="6" s="1"/>
  <c r="G1772" i="6" s="1"/>
  <c r="E1748" i="6"/>
  <c r="G1748" i="6" s="1"/>
  <c r="E1747" i="6"/>
  <c r="G1747" i="6" s="1"/>
  <c r="E1749" i="6"/>
  <c r="E1759" i="6" s="1"/>
  <c r="G1759" i="6" s="1"/>
  <c r="E1760" i="6"/>
  <c r="E1762" i="6" s="1"/>
  <c r="G1762" i="6" s="1"/>
  <c r="E1758" i="6"/>
  <c r="G1758" i="6" s="1"/>
  <c r="E1757" i="6"/>
  <c r="G1757" i="6" s="1"/>
  <c r="E1756" i="6"/>
  <c r="G1756" i="6" s="1"/>
  <c r="E1754" i="6"/>
  <c r="E1755" i="6" s="1"/>
  <c r="G1755" i="6" s="1"/>
  <c r="E1751" i="6"/>
  <c r="G1751" i="6" s="1"/>
  <c r="E1743" i="6"/>
  <c r="E1745" i="6" s="1"/>
  <c r="G1745" i="6" s="1"/>
  <c r="E1732" i="6"/>
  <c r="E1731" i="6"/>
  <c r="G1731" i="6" s="1"/>
  <c r="E1730" i="6"/>
  <c r="G1730" i="6" s="1"/>
  <c r="E1741" i="6"/>
  <c r="G1741" i="6" s="1"/>
  <c r="E1740" i="6"/>
  <c r="G1740" i="6" s="1"/>
  <c r="E1739" i="6"/>
  <c r="G1739" i="6" s="1"/>
  <c r="E1737" i="6"/>
  <c r="E1738" i="6" s="1"/>
  <c r="G1738" i="6" s="1"/>
  <c r="E1734" i="6"/>
  <c r="G1734" i="6" s="1"/>
  <c r="E1742" i="6"/>
  <c r="G1742" i="6" s="1"/>
  <c r="E1713" i="6"/>
  <c r="G1713" i="6" s="1"/>
  <c r="E1714" i="6"/>
  <c r="G1714" i="6" s="1"/>
  <c r="E1720" i="6"/>
  <c r="E1721" i="6" s="1"/>
  <c r="G1721" i="6" s="1"/>
  <c r="E1715" i="6"/>
  <c r="E1725" i="6" s="1"/>
  <c r="G1725" i="6" s="1"/>
  <c r="E1717" i="6"/>
  <c r="G1717" i="6" s="1"/>
  <c r="E595" i="6"/>
  <c r="E1727" i="6"/>
  <c r="E1728" i="6" s="1"/>
  <c r="G1728" i="6" s="1"/>
  <c r="E1724" i="6"/>
  <c r="G1724" i="6" s="1"/>
  <c r="E1723" i="6"/>
  <c r="G1723" i="6" s="1"/>
  <c r="E1722" i="6"/>
  <c r="G1722" i="6" s="1"/>
  <c r="E1706" i="6"/>
  <c r="G1706" i="6" s="1"/>
  <c r="E1705" i="6"/>
  <c r="G1705" i="6" s="1"/>
  <c r="E1699" i="6"/>
  <c r="G1699" i="6" s="1"/>
  <c r="E1698" i="6"/>
  <c r="G1698" i="6"/>
  <c r="E1693" i="6"/>
  <c r="G1693" i="6" s="1"/>
  <c r="E1696" i="6"/>
  <c r="G1696" i="6" s="1"/>
  <c r="E1695" i="6"/>
  <c r="E1694" i="6"/>
  <c r="G1694" i="6" s="1"/>
  <c r="E1689" i="6"/>
  <c r="G1689" i="6" s="1"/>
  <c r="E1688" i="6"/>
  <c r="G1688" i="6" s="1"/>
  <c r="E1685" i="6"/>
  <c r="G1685" i="6" s="1"/>
  <c r="E1684" i="6"/>
  <c r="G1684" i="6" s="1"/>
  <c r="E1679" i="6"/>
  <c r="G1679" i="6" s="1"/>
  <c r="E1680" i="6"/>
  <c r="G1680" i="6" s="1"/>
  <c r="E1676" i="6"/>
  <c r="G1676" i="6" s="1"/>
  <c r="E1675" i="6"/>
  <c r="G1675" i="6" s="1"/>
  <c r="E1672" i="6"/>
  <c r="G1672" i="6" s="1"/>
  <c r="E1671" i="6"/>
  <c r="G1671" i="6" s="1"/>
  <c r="E1667" i="6"/>
  <c r="G1667" i="6" s="1"/>
  <c r="E1666" i="6"/>
  <c r="G1666" i="6" s="1"/>
  <c r="G1664" i="6"/>
  <c r="H1664" i="6" s="1"/>
  <c r="H1662" i="6" s="1"/>
  <c r="E1663" i="6"/>
  <c r="G1663" i="6" s="1"/>
  <c r="E1662" i="6"/>
  <c r="G1662" i="6" s="1"/>
  <c r="G1660" i="6"/>
  <c r="G1659" i="6"/>
  <c r="E1658" i="6"/>
  <c r="G1658" i="6" s="1"/>
  <c r="G1656" i="6"/>
  <c r="E1655" i="6"/>
  <c r="G1655" i="6" s="1"/>
  <c r="G1654" i="6"/>
  <c r="G1653" i="6"/>
  <c r="G1651" i="6"/>
  <c r="H1651" i="6" s="1"/>
  <c r="H1649" i="6" s="1"/>
  <c r="E1650" i="6"/>
  <c r="G1650" i="6" s="1"/>
  <c r="E1649" i="6"/>
  <c r="G1649" i="6" s="1"/>
  <c r="F1647" i="6"/>
  <c r="E1647" i="6"/>
  <c r="G1646" i="6"/>
  <c r="G1645" i="6"/>
  <c r="E1643" i="6"/>
  <c r="G1643" i="6" s="1"/>
  <c r="G1642" i="6"/>
  <c r="G1641" i="6"/>
  <c r="F1639" i="6"/>
  <c r="E1639" i="6"/>
  <c r="G1638" i="6"/>
  <c r="G1637" i="6"/>
  <c r="E1635" i="6"/>
  <c r="G1635" i="6" s="1"/>
  <c r="G1634" i="6"/>
  <c r="G1633" i="6"/>
  <c r="G1631" i="6"/>
  <c r="G1630" i="6"/>
  <c r="G1629" i="6"/>
  <c r="G1627" i="6"/>
  <c r="G1626" i="6"/>
  <c r="H1625" i="6"/>
  <c r="G1624" i="6"/>
  <c r="G1623" i="6"/>
  <c r="G1621" i="6"/>
  <c r="G1620" i="6"/>
  <c r="E1618" i="6"/>
  <c r="G1618" i="6" s="1"/>
  <c r="G1617" i="6"/>
  <c r="E1615" i="6"/>
  <c r="G1615" i="6" s="1"/>
  <c r="G1614" i="6"/>
  <c r="E1612" i="6"/>
  <c r="G1612" i="6" s="1"/>
  <c r="E1611" i="6"/>
  <c r="G1611" i="6" s="1"/>
  <c r="E1609" i="6"/>
  <c r="G1609" i="6" s="1"/>
  <c r="E1608" i="6"/>
  <c r="G1608" i="6" s="1"/>
  <c r="E1607" i="6"/>
  <c r="G1607" i="6" s="1"/>
  <c r="G1604" i="6"/>
  <c r="E1602" i="6"/>
  <c r="E1605" i="6" s="1"/>
  <c r="G1605" i="6" s="1"/>
  <c r="G1601" i="6"/>
  <c r="E1597" i="6"/>
  <c r="G1597" i="6" s="1"/>
  <c r="E1598" i="6"/>
  <c r="G1598" i="6" s="1"/>
  <c r="E1599" i="6"/>
  <c r="G1599" i="6" s="1"/>
  <c r="H1599" i="6" s="1"/>
  <c r="E1593" i="6"/>
  <c r="G1593" i="6" s="1"/>
  <c r="E1594" i="6"/>
  <c r="G1594" i="6" s="1"/>
  <c r="E1595" i="6"/>
  <c r="G1595" i="6" s="1"/>
  <c r="H1595" i="6" s="1"/>
  <c r="G1585" i="6"/>
  <c r="G1584" i="6"/>
  <c r="G1586" i="6"/>
  <c r="G1582" i="6"/>
  <c r="G1581" i="6"/>
  <c r="E1580" i="6"/>
  <c r="G1580" i="6" s="1"/>
  <c r="G1578" i="6"/>
  <c r="E1577" i="6"/>
  <c r="G1577" i="6" s="1"/>
  <c r="G1576" i="6"/>
  <c r="G1575" i="6"/>
  <c r="E1589" i="6"/>
  <c r="G1589" i="6" s="1"/>
  <c r="E1588" i="6"/>
  <c r="G1588" i="6" s="1"/>
  <c r="E1572" i="6"/>
  <c r="G1572" i="6" s="1"/>
  <c r="E1571" i="6"/>
  <c r="G1571" i="6" s="1"/>
  <c r="F1569" i="6"/>
  <c r="E1569" i="6"/>
  <c r="G1568" i="6"/>
  <c r="G1567" i="6"/>
  <c r="E1565" i="6"/>
  <c r="G1565" i="6" s="1"/>
  <c r="G1564" i="6"/>
  <c r="G1563" i="6"/>
  <c r="F1561" i="6"/>
  <c r="E1561" i="6"/>
  <c r="G1560" i="6"/>
  <c r="G1559" i="6"/>
  <c r="E1557" i="6"/>
  <c r="G1557" i="6" s="1"/>
  <c r="G1556" i="6"/>
  <c r="G1555" i="6"/>
  <c r="G1553" i="6"/>
  <c r="G1552" i="6"/>
  <c r="G1551" i="6"/>
  <c r="G1549" i="6"/>
  <c r="G1548" i="6"/>
  <c r="H1547" i="6"/>
  <c r="G1546" i="6"/>
  <c r="G1545" i="6"/>
  <c r="G1543" i="6"/>
  <c r="G1542" i="6"/>
  <c r="E1540" i="6"/>
  <c r="G1540" i="6" s="1"/>
  <c r="G1539" i="6"/>
  <c r="E1537" i="6"/>
  <c r="G1537" i="6" s="1"/>
  <c r="G1536" i="6"/>
  <c r="E1534" i="6"/>
  <c r="G1534" i="6" s="1"/>
  <c r="E1533" i="6"/>
  <c r="G1533" i="6" s="1"/>
  <c r="E1531" i="6"/>
  <c r="G1531" i="6" s="1"/>
  <c r="E1530" i="6"/>
  <c r="G1530" i="6" s="1"/>
  <c r="E1529" i="6"/>
  <c r="G1529" i="6" s="1"/>
  <c r="G1526" i="6"/>
  <c r="E1524" i="6"/>
  <c r="E1527" i="6" s="1"/>
  <c r="G1527" i="6" s="1"/>
  <c r="G1523" i="6"/>
  <c r="E1519" i="6"/>
  <c r="G1519" i="6" s="1"/>
  <c r="E1520" i="6"/>
  <c r="G1520" i="6" s="1"/>
  <c r="F1521" i="6"/>
  <c r="E1521" i="6"/>
  <c r="E1513" i="6"/>
  <c r="E1510" i="6"/>
  <c r="G1510" i="6" s="1"/>
  <c r="E1509" i="6"/>
  <c r="G1509" i="6" s="1"/>
  <c r="E1514" i="6"/>
  <c r="E1506" i="6"/>
  <c r="G1506" i="6" s="1"/>
  <c r="E1505" i="6"/>
  <c r="G1505" i="6" s="1"/>
  <c r="E1503" i="6"/>
  <c r="G1503" i="6" s="1"/>
  <c r="G1501" i="6"/>
  <c r="G1500" i="6"/>
  <c r="F1498" i="6"/>
  <c r="E1498" i="6"/>
  <c r="E1502" i="6" s="1"/>
  <c r="G1502" i="6" s="1"/>
  <c r="G1497" i="6"/>
  <c r="G1496" i="6"/>
  <c r="E1493" i="6"/>
  <c r="G1493" i="6" s="1"/>
  <c r="E1494" i="6"/>
  <c r="G1494" i="6" s="1"/>
  <c r="E1489" i="6"/>
  <c r="G1489" i="6" s="1"/>
  <c r="E1490" i="6"/>
  <c r="G1490" i="6" s="1"/>
  <c r="E1488" i="6"/>
  <c r="G1488" i="6" s="1"/>
  <c r="H1489" i="6" s="1"/>
  <c r="H1487" i="6" s="1"/>
  <c r="E1485" i="6"/>
  <c r="G1485" i="6" s="1"/>
  <c r="E1486" i="6"/>
  <c r="G1486" i="6" s="1"/>
  <c r="E1484" i="6"/>
  <c r="G1484" i="6" s="1"/>
  <c r="H1485" i="6" s="1"/>
  <c r="H1483" i="6" s="1"/>
  <c r="G1482" i="6"/>
  <c r="G1481" i="6"/>
  <c r="G1480" i="6"/>
  <c r="G1478" i="6"/>
  <c r="G1477" i="6"/>
  <c r="G1476" i="6"/>
  <c r="G1473" i="6"/>
  <c r="G1472" i="6"/>
  <c r="H1468" i="6"/>
  <c r="G1470" i="6"/>
  <c r="G1469" i="6"/>
  <c r="G1474" i="6"/>
  <c r="E1454" i="6"/>
  <c r="G1454" i="6" s="1"/>
  <c r="E1450" i="6"/>
  <c r="G1450" i="6" s="1"/>
  <c r="E1451" i="6"/>
  <c r="G1451" i="6" s="1"/>
  <c r="E1445" i="6"/>
  <c r="E1448" i="6" s="1"/>
  <c r="G1448" i="6" s="1"/>
  <c r="G1467" i="6"/>
  <c r="G1466" i="6"/>
  <c r="G1464" i="6"/>
  <c r="G1463" i="6"/>
  <c r="E1461" i="6"/>
  <c r="G1461" i="6" s="1"/>
  <c r="G1460" i="6"/>
  <c r="E1458" i="6"/>
  <c r="G1458" i="6" s="1"/>
  <c r="G1457" i="6"/>
  <c r="E1455" i="6"/>
  <c r="G1455" i="6" s="1"/>
  <c r="E1452" i="6"/>
  <c r="G1452" i="6" s="1"/>
  <c r="G1447" i="6"/>
  <c r="G1444" i="6"/>
  <c r="E1442" i="6"/>
  <c r="G1442" i="6" s="1"/>
  <c r="E1441" i="6"/>
  <c r="G1441" i="6" s="1"/>
  <c r="E1437" i="6"/>
  <c r="G1437" i="6" s="1"/>
  <c r="E1438" i="6"/>
  <c r="G1438" i="6" s="1"/>
  <c r="E1440" i="6"/>
  <c r="G1440" i="6" s="1"/>
  <c r="H1441" i="6" s="1"/>
  <c r="H1439" i="6" s="1"/>
  <c r="E1436" i="6"/>
  <c r="G1436" i="6" s="1"/>
  <c r="H1437" i="6" s="1"/>
  <c r="H1435" i="6" s="1"/>
  <c r="E1434" i="6"/>
  <c r="G1434" i="6" s="1"/>
  <c r="E1433" i="6"/>
  <c r="G1433" i="6" s="1"/>
  <c r="E1430" i="6"/>
  <c r="G1430" i="6" s="1"/>
  <c r="E1429" i="6"/>
  <c r="G1429" i="6" s="1"/>
  <c r="E1426" i="6"/>
  <c r="E1425" i="6"/>
  <c r="G1425" i="6" s="1"/>
  <c r="G1426" i="6"/>
  <c r="E1422" i="6"/>
  <c r="G1422" i="6" s="1"/>
  <c r="E1421" i="6"/>
  <c r="G1421" i="6" s="1"/>
  <c r="E1417" i="6"/>
  <c r="E1418" i="6"/>
  <c r="G1418" i="6" s="1"/>
  <c r="F1414" i="6"/>
  <c r="E1414" i="6"/>
  <c r="G1413" i="6"/>
  <c r="G1412" i="6"/>
  <c r="F1410" i="6"/>
  <c r="E1410" i="6"/>
  <c r="G1409" i="6"/>
  <c r="G1408" i="6"/>
  <c r="F1406" i="6"/>
  <c r="E1406" i="6"/>
  <c r="G1405" i="6"/>
  <c r="G1404" i="6"/>
  <c r="E1402" i="6"/>
  <c r="G1402" i="6" s="1"/>
  <c r="G1401" i="6"/>
  <c r="G1400" i="6"/>
  <c r="E1396" i="6"/>
  <c r="G1396" i="6" s="1"/>
  <c r="E1397" i="6"/>
  <c r="G1397" i="6" s="1"/>
  <c r="E1392" i="6"/>
  <c r="G1392" i="6" s="1"/>
  <c r="E1391" i="6"/>
  <c r="G1391" i="6" s="1"/>
  <c r="G1363" i="6"/>
  <c r="G1362" i="6"/>
  <c r="G1360" i="6"/>
  <c r="G1359" i="6"/>
  <c r="E1355" i="6"/>
  <c r="G1355" i="6" s="1"/>
  <c r="E1356" i="6"/>
  <c r="G1356" i="6" s="1"/>
  <c r="E1357" i="6"/>
  <c r="G1357" i="6" s="1"/>
  <c r="H1357" i="6" s="1"/>
  <c r="H1355" i="6" s="1"/>
  <c r="G1353" i="6"/>
  <c r="G1352" i="6"/>
  <c r="G1350" i="6"/>
  <c r="G1349" i="6"/>
  <c r="G1347" i="6"/>
  <c r="G1346" i="6"/>
  <c r="G1344" i="6"/>
  <c r="G1343" i="6"/>
  <c r="G1341" i="6"/>
  <c r="G1340" i="6"/>
  <c r="G1338" i="6"/>
  <c r="G1337" i="6"/>
  <c r="G1335" i="6"/>
  <c r="G1334" i="6"/>
  <c r="E1333" i="6"/>
  <c r="G1333" i="6" s="1"/>
  <c r="H1335" i="6" s="1"/>
  <c r="G1331" i="6"/>
  <c r="E1330" i="6"/>
  <c r="G1330" i="6" s="1"/>
  <c r="G1329" i="6"/>
  <c r="G1328" i="6"/>
  <c r="E1326" i="6"/>
  <c r="G1326" i="6" s="1"/>
  <c r="H1326" i="6" s="1"/>
  <c r="E1325" i="6"/>
  <c r="G1325" i="6" s="1"/>
  <c r="E1324" i="6"/>
  <c r="G1324" i="6" s="1"/>
  <c r="E1322" i="6"/>
  <c r="G1322" i="6" s="1"/>
  <c r="H1322" i="6" s="1"/>
  <c r="E1321" i="6"/>
  <c r="G1321" i="6" s="1"/>
  <c r="E1320" i="6"/>
  <c r="G1320" i="6" s="1"/>
  <c r="E1318" i="6"/>
  <c r="G1318" i="6" s="1"/>
  <c r="E1317" i="6"/>
  <c r="G1317" i="6" s="1"/>
  <c r="H1317" i="6" s="1"/>
  <c r="H1315" i="6" s="1"/>
  <c r="E1316" i="6"/>
  <c r="G1316" i="6" s="1"/>
  <c r="E1314" i="6"/>
  <c r="G1314" i="6" s="1"/>
  <c r="E1313" i="6"/>
  <c r="G1313" i="6" s="1"/>
  <c r="H1313" i="6" s="1"/>
  <c r="H1311" i="6" s="1"/>
  <c r="E1312" i="6"/>
  <c r="G1312" i="6" s="1"/>
  <c r="E1310" i="6"/>
  <c r="G1310" i="6" s="1"/>
  <c r="E1309" i="6"/>
  <c r="G1309" i="6" s="1"/>
  <c r="H1309" i="6" s="1"/>
  <c r="H1307" i="6" s="1"/>
  <c r="E1308" i="6"/>
  <c r="G1308" i="6" s="1"/>
  <c r="E1306" i="6"/>
  <c r="G1306" i="6" s="1"/>
  <c r="E1305" i="6"/>
  <c r="G1305" i="6" s="1"/>
  <c r="H1305" i="6" s="1"/>
  <c r="H1303" i="6" s="1"/>
  <c r="E1304" i="6"/>
  <c r="G1304" i="6" s="1"/>
  <c r="E1302" i="6"/>
  <c r="G1302" i="6" s="1"/>
  <c r="E1301" i="6"/>
  <c r="G1301" i="6" s="1"/>
  <c r="H1301" i="6" s="1"/>
  <c r="H1299" i="6" s="1"/>
  <c r="E1300" i="6"/>
  <c r="G1300" i="6" s="1"/>
  <c r="E1371" i="6"/>
  <c r="G1371" i="6" s="1"/>
  <c r="E1372" i="6"/>
  <c r="G1372" i="6" s="1"/>
  <c r="E1382" i="6"/>
  <c r="G1382" i="6" s="1"/>
  <c r="E1381" i="6"/>
  <c r="G1381" i="6" s="1"/>
  <c r="E1377" i="6"/>
  <c r="G1377" i="6" s="1"/>
  <c r="E1376" i="6"/>
  <c r="G1376" i="6" s="1"/>
  <c r="E1387" i="6"/>
  <c r="G1387" i="6" s="1"/>
  <c r="E1386" i="6"/>
  <c r="G1386" i="6" s="1"/>
  <c r="I1367" i="6"/>
  <c r="I1366" i="6"/>
  <c r="E1368" i="6"/>
  <c r="G1368" i="6" s="1"/>
  <c r="E1367" i="6"/>
  <c r="G1367" i="6" s="1"/>
  <c r="E1366" i="6"/>
  <c r="G1366" i="6" s="1"/>
  <c r="E1365" i="6"/>
  <c r="E1297" i="6"/>
  <c r="G1297" i="6" s="1"/>
  <c r="E1296" i="6"/>
  <c r="G1296" i="6" s="1"/>
  <c r="E1294" i="6"/>
  <c r="G1294" i="6" s="1"/>
  <c r="E1293" i="6"/>
  <c r="G1293" i="6" s="1"/>
  <c r="E1291" i="6"/>
  <c r="G1291" i="6" s="1"/>
  <c r="E1290" i="6"/>
  <c r="G1290" i="6" s="1"/>
  <c r="E1286" i="6"/>
  <c r="G1286" i="6" s="1"/>
  <c r="E1287" i="6"/>
  <c r="G1287" i="6" s="1"/>
  <c r="E1281" i="6"/>
  <c r="G1281" i="6" s="1"/>
  <c r="E1283" i="6"/>
  <c r="G1283" i="6" s="1"/>
  <c r="E1282" i="6"/>
  <c r="G1282" i="6" s="1"/>
  <c r="E1278" i="6"/>
  <c r="G1278" i="6" s="1"/>
  <c r="E1277" i="6"/>
  <c r="G1277" i="6" s="1"/>
  <c r="G1288" i="6"/>
  <c r="G1284" i="6"/>
  <c r="G1279" i="6"/>
  <c r="E1272" i="6"/>
  <c r="G1272" i="6" s="1"/>
  <c r="E1273" i="6"/>
  <c r="G1273" i="6" s="1"/>
  <c r="E1274" i="6"/>
  <c r="G1274" i="6" s="1"/>
  <c r="E1270" i="6"/>
  <c r="E1269" i="6"/>
  <c r="G1269" i="6" s="1"/>
  <c r="E1268" i="6"/>
  <c r="I1268" i="6" s="1"/>
  <c r="E1267" i="6"/>
  <c r="I1267" i="6" s="1"/>
  <c r="E1266" i="6"/>
  <c r="G1266" i="6" s="1"/>
  <c r="E1264" i="6"/>
  <c r="G1264" i="6" s="1"/>
  <c r="E1263" i="6"/>
  <c r="G1263" i="6" s="1"/>
  <c r="G1262" i="6"/>
  <c r="G1261" i="6"/>
  <c r="G1260" i="6"/>
  <c r="E1259" i="6"/>
  <c r="G1259" i="6" s="1"/>
  <c r="E1257" i="6"/>
  <c r="G1257" i="6" s="1"/>
  <c r="H1257" i="6" s="1"/>
  <c r="E1256" i="6"/>
  <c r="I1256" i="6" s="1"/>
  <c r="E1255" i="6"/>
  <c r="I1255" i="6" s="1"/>
  <c r="E1254" i="6"/>
  <c r="G1254" i="6" s="1"/>
  <c r="H1254" i="6" s="1"/>
  <c r="E1248" i="6"/>
  <c r="G1248" i="6" s="1"/>
  <c r="E1249" i="6"/>
  <c r="G1249" i="6" s="1"/>
  <c r="E1251" i="6"/>
  <c r="G1251" i="6" s="1"/>
  <c r="E1250" i="6"/>
  <c r="G1250" i="6" s="1"/>
  <c r="I1246" i="6"/>
  <c r="I1245" i="6"/>
  <c r="G1246" i="6"/>
  <c r="E1245" i="6"/>
  <c r="G1245" i="6" s="1"/>
  <c r="G1244" i="6"/>
  <c r="H1244" i="6" s="1"/>
  <c r="G1243" i="6"/>
  <c r="G1242" i="6"/>
  <c r="H1242" i="6" s="1"/>
  <c r="E1241" i="6"/>
  <c r="I1241" i="6" s="1"/>
  <c r="E1240" i="6"/>
  <c r="G1240" i="6" s="1"/>
  <c r="H1240" i="6" s="1"/>
  <c r="E1238" i="6"/>
  <c r="G1238" i="6" s="1"/>
  <c r="E1233" i="6"/>
  <c r="G1233" i="6" s="1"/>
  <c r="E1234" i="6"/>
  <c r="G1234" i="6" s="1"/>
  <c r="E1232" i="6"/>
  <c r="G1232" i="6" s="1"/>
  <c r="E1231" i="6"/>
  <c r="G1231" i="6"/>
  <c r="E1235" i="6"/>
  <c r="E1225" i="6"/>
  <c r="G1225" i="6" s="1"/>
  <c r="E1226" i="6"/>
  <c r="G1226" i="6" s="1"/>
  <c r="G1229" i="6"/>
  <c r="G1228" i="6"/>
  <c r="G1227" i="6"/>
  <c r="E1212" i="6"/>
  <c r="G1212" i="6" s="1"/>
  <c r="E1215" i="6"/>
  <c r="G1215" i="6" s="1"/>
  <c r="E1213" i="6"/>
  <c r="G1213" i="6" s="1"/>
  <c r="E1206" i="6"/>
  <c r="G1206" i="6" s="1"/>
  <c r="E1207" i="6"/>
  <c r="G1207" i="6" s="1"/>
  <c r="E1200" i="6"/>
  <c r="G1200" i="6" s="1"/>
  <c r="E1201" i="6"/>
  <c r="G1201" i="6" s="1"/>
  <c r="E1194" i="6"/>
  <c r="G1194" i="6" s="1"/>
  <c r="E1195" i="6"/>
  <c r="G1195" i="6" s="1"/>
  <c r="E1189" i="6"/>
  <c r="G1189" i="6" s="1"/>
  <c r="E1188" i="6"/>
  <c r="G1188" i="6" s="1"/>
  <c r="E1183" i="6"/>
  <c r="G1183" i="6" s="1"/>
  <c r="E1182" i="6"/>
  <c r="G1182" i="6" s="1"/>
  <c r="E1176" i="6"/>
  <c r="G1176" i="6" s="1"/>
  <c r="E1177" i="6"/>
  <c r="G1177" i="6" s="1"/>
  <c r="G1164" i="6"/>
  <c r="G1163" i="6"/>
  <c r="G1162" i="6"/>
  <c r="G1161" i="6"/>
  <c r="G1160" i="6"/>
  <c r="E1141" i="6"/>
  <c r="G1141" i="6" s="1"/>
  <c r="E1142" i="6"/>
  <c r="G1142" i="6" s="1"/>
  <c r="E1143" i="6"/>
  <c r="G1143" i="6" s="1"/>
  <c r="E1138" i="6"/>
  <c r="G1138" i="6" s="1"/>
  <c r="E1137" i="6"/>
  <c r="G1137" i="6" s="1"/>
  <c r="E1139" i="6"/>
  <c r="G1139" i="6" s="1"/>
  <c r="F1059" i="6"/>
  <c r="E1059" i="6"/>
  <c r="E1058" i="6"/>
  <c r="G1058" i="6" s="1"/>
  <c r="E1057" i="6"/>
  <c r="G1057" i="6" s="1"/>
  <c r="E1056" i="6"/>
  <c r="G1056" i="6" s="1"/>
  <c r="F1054" i="6"/>
  <c r="E1054" i="6"/>
  <c r="E1053" i="6"/>
  <c r="G1053" i="6" s="1"/>
  <c r="E1052" i="6"/>
  <c r="G1052" i="6" s="1"/>
  <c r="E1051" i="6"/>
  <c r="G1051" i="6" s="1"/>
  <c r="F1049" i="6"/>
  <c r="E1049" i="6"/>
  <c r="E1048" i="6"/>
  <c r="G1048" i="6" s="1"/>
  <c r="E1047" i="6"/>
  <c r="G1047" i="6" s="1"/>
  <c r="E1046" i="6"/>
  <c r="G1046" i="6" s="1"/>
  <c r="F1039" i="6"/>
  <c r="E1039" i="6"/>
  <c r="E1038" i="6"/>
  <c r="G1038" i="6" s="1"/>
  <c r="E1037" i="6"/>
  <c r="G1037" i="6" s="1"/>
  <c r="E1036" i="6"/>
  <c r="G1036" i="6" s="1"/>
  <c r="G1021" i="6"/>
  <c r="G1022" i="6"/>
  <c r="G1019" i="6"/>
  <c r="E814" i="6"/>
  <c r="G814" i="6" s="1"/>
  <c r="E813" i="6"/>
  <c r="G813" i="6" s="1"/>
  <c r="E1016" i="6"/>
  <c r="G1016" i="6" s="1"/>
  <c r="E1015" i="6"/>
  <c r="G1015" i="6" s="1"/>
  <c r="G1023" i="6"/>
  <c r="G1020" i="6"/>
  <c r="E1014" i="6"/>
  <c r="G1014" i="6" s="1"/>
  <c r="G1017" i="6"/>
  <c r="G1012" i="6"/>
  <c r="G1011" i="6"/>
  <c r="G1010" i="6"/>
  <c r="G1009" i="6"/>
  <c r="G1008" i="6"/>
  <c r="G1007" i="6"/>
  <c r="G1006" i="6"/>
  <c r="G1005" i="6"/>
  <c r="G1004" i="6"/>
  <c r="G1003" i="6"/>
  <c r="G1002" i="6"/>
  <c r="G1001" i="6"/>
  <c r="G1000" i="6"/>
  <c r="G999" i="6"/>
  <c r="E997" i="6"/>
  <c r="G997" i="6" s="1"/>
  <c r="E993" i="6"/>
  <c r="G993" i="6" s="1"/>
  <c r="E995" i="6"/>
  <c r="G995" i="6" s="1"/>
  <c r="E994" i="6"/>
  <c r="G994" i="6"/>
  <c r="E996" i="6"/>
  <c r="G996" i="6" s="1"/>
  <c r="E988" i="6"/>
  <c r="G988" i="6" s="1"/>
  <c r="E989" i="6"/>
  <c r="G989" i="6" s="1"/>
  <c r="E981" i="6"/>
  <c r="G981" i="6" s="1"/>
  <c r="E982" i="6"/>
  <c r="G982" i="6" s="1"/>
  <c r="E974" i="6"/>
  <c r="E975" i="6"/>
  <c r="G975" i="6" s="1"/>
  <c r="G974" i="6"/>
  <c r="E968" i="6"/>
  <c r="G968" i="6" s="1"/>
  <c r="E969" i="6"/>
  <c r="G969" i="6" s="1"/>
  <c r="E963" i="6"/>
  <c r="G963" i="6" s="1"/>
  <c r="E962" i="6"/>
  <c r="G962" i="6" s="1"/>
  <c r="E956" i="6"/>
  <c r="G956" i="6" s="1"/>
  <c r="E957" i="6"/>
  <c r="G957" i="6" s="1"/>
  <c r="E951" i="6"/>
  <c r="G951" i="6" s="1"/>
  <c r="E950" i="6"/>
  <c r="G950" i="6" s="1"/>
  <c r="E926" i="6"/>
  <c r="G926" i="6" s="1"/>
  <c r="E927" i="6"/>
  <c r="G927" i="6" s="1"/>
  <c r="E920" i="6"/>
  <c r="G920" i="6" s="1"/>
  <c r="E921" i="6"/>
  <c r="G921" i="6" s="1"/>
  <c r="E914" i="6"/>
  <c r="G914" i="6" s="1"/>
  <c r="E915" i="6"/>
  <c r="G915" i="6" s="1"/>
  <c r="E908" i="6"/>
  <c r="G908" i="6" s="1"/>
  <c r="E909" i="6"/>
  <c r="G909" i="6" s="1"/>
  <c r="E902" i="6"/>
  <c r="G902" i="6" s="1"/>
  <c r="E903" i="6"/>
  <c r="G903" i="6" s="1"/>
  <c r="E896" i="6"/>
  <c r="G896" i="6" s="1"/>
  <c r="E897" i="6"/>
  <c r="G897" i="6" s="1"/>
  <c r="E890" i="6"/>
  <c r="G890" i="6" s="1"/>
  <c r="E891" i="6"/>
  <c r="G891" i="6" s="1"/>
  <c r="E884" i="6"/>
  <c r="G884" i="6" s="1"/>
  <c r="E885" i="6"/>
  <c r="G885" i="6" s="1"/>
  <c r="E878" i="6"/>
  <c r="G878" i="6" s="1"/>
  <c r="E879" i="6"/>
  <c r="G879" i="6" s="1"/>
  <c r="E872" i="6"/>
  <c r="G872" i="6" s="1"/>
  <c r="E873" i="6"/>
  <c r="G873" i="6" s="1"/>
  <c r="E867" i="6"/>
  <c r="G867" i="6" s="1"/>
  <c r="E866" i="6"/>
  <c r="G866" i="6"/>
  <c r="E860" i="6"/>
  <c r="G860" i="6" s="1"/>
  <c r="E861" i="6"/>
  <c r="G861" i="6" s="1"/>
  <c r="E855" i="6"/>
  <c r="G855" i="6" s="1"/>
  <c r="E854" i="6"/>
  <c r="G854" i="6" s="1"/>
  <c r="E848" i="6"/>
  <c r="G848" i="6" s="1"/>
  <c r="E849" i="6"/>
  <c r="G849" i="6" s="1"/>
  <c r="E842" i="6"/>
  <c r="G842" i="6" s="1"/>
  <c r="E843" i="6"/>
  <c r="G843" i="6" s="1"/>
  <c r="E837" i="6"/>
  <c r="G837" i="6" s="1"/>
  <c r="E838" i="6"/>
  <c r="G838" i="6" s="1"/>
  <c r="E832" i="6"/>
  <c r="G832" i="6" s="1"/>
  <c r="E833" i="6"/>
  <c r="G833" i="6" s="1"/>
  <c r="E827" i="6"/>
  <c r="G827" i="6" s="1"/>
  <c r="E828" i="6"/>
  <c r="G828" i="6" s="1"/>
  <c r="E822" i="6"/>
  <c r="G822" i="6" s="1"/>
  <c r="E823" i="6"/>
  <c r="G823" i="6" s="1"/>
  <c r="F818" i="6"/>
  <c r="G818" i="6" s="1"/>
  <c r="E817" i="6"/>
  <c r="G817" i="6" s="1"/>
  <c r="E816" i="6"/>
  <c r="G816" i="6" s="1"/>
  <c r="G815" i="6"/>
  <c r="E738" i="6"/>
  <c r="G738" i="6" s="1"/>
  <c r="E739" i="6"/>
  <c r="G739" i="6" s="1"/>
  <c r="E709" i="6"/>
  <c r="G709" i="6" s="1"/>
  <c r="E708" i="6"/>
  <c r="G708" i="6" s="1"/>
  <c r="E707" i="6"/>
  <c r="G707" i="6" s="1"/>
  <c r="E706" i="6"/>
  <c r="G706" i="6" s="1"/>
  <c r="E666" i="6"/>
  <c r="G666" i="6" s="1"/>
  <c r="E667" i="6"/>
  <c r="G667" i="6" s="1"/>
  <c r="E659" i="6"/>
  <c r="E660" i="6"/>
  <c r="G659" i="6"/>
  <c r="E654" i="6"/>
  <c r="G654" i="6" s="1"/>
  <c r="E657" i="6"/>
  <c r="G657" i="6" s="1"/>
  <c r="E652" i="6"/>
  <c r="G652" i="6" s="1"/>
  <c r="E649" i="6"/>
  <c r="G649" i="6" s="1"/>
  <c r="E640" i="6"/>
  <c r="E637" i="6"/>
  <c r="G637" i="6" s="1"/>
  <c r="G640" i="6"/>
  <c r="E635" i="6"/>
  <c r="G635" i="6" s="1"/>
  <c r="E632" i="6"/>
  <c r="G632" i="6" s="1"/>
  <c r="E630" i="6"/>
  <c r="G630" i="6" s="1"/>
  <c r="E627" i="6"/>
  <c r="G627" i="6" s="1"/>
  <c r="E625" i="6"/>
  <c r="G625" i="6" s="1"/>
  <c r="E622" i="6"/>
  <c r="G622" i="6" s="1"/>
  <c r="E620" i="6"/>
  <c r="G620" i="6" s="1"/>
  <c r="E617" i="6"/>
  <c r="G617" i="6" s="1"/>
  <c r="E612" i="6"/>
  <c r="G612" i="6" s="1"/>
  <c r="E615" i="6"/>
  <c r="G615" i="6" s="1"/>
  <c r="E610" i="6"/>
  <c r="G610" i="6" s="1"/>
  <c r="E607" i="6"/>
  <c r="G607" i="6" s="1"/>
  <c r="E602" i="6"/>
  <c r="G602" i="6" s="1"/>
  <c r="E605" i="6"/>
  <c r="E598" i="6"/>
  <c r="G598" i="6" s="1"/>
  <c r="E594" i="6"/>
  <c r="G594" i="6" s="1"/>
  <c r="E599" i="6"/>
  <c r="G599" i="6" s="1"/>
  <c r="E591" i="6"/>
  <c r="G591" i="6" s="1"/>
  <c r="E590" i="6"/>
  <c r="G590" i="6" s="1"/>
  <c r="G595" i="6"/>
  <c r="E586" i="6"/>
  <c r="G586" i="6" s="1"/>
  <c r="E587" i="6"/>
  <c r="G587" i="6" s="1"/>
  <c r="E600" i="6"/>
  <c r="G600" i="6" s="1"/>
  <c r="H600" i="6" s="1"/>
  <c r="H598" i="6" s="1"/>
  <c r="E596" i="6"/>
  <c r="G596" i="6" s="1"/>
  <c r="H596" i="6" s="1"/>
  <c r="H594" i="6" s="1"/>
  <c r="E592" i="6"/>
  <c r="G592" i="6" s="1"/>
  <c r="H592" i="6" s="1"/>
  <c r="H590" i="6" s="1"/>
  <c r="E588" i="6"/>
  <c r="G588" i="6" s="1"/>
  <c r="H588" i="6" s="1"/>
  <c r="H586" i="6" s="1"/>
  <c r="E575" i="6"/>
  <c r="G575" i="6" s="1"/>
  <c r="E582" i="6"/>
  <c r="G582" i="6" s="1"/>
  <c r="E581" i="6"/>
  <c r="G581" i="6" s="1"/>
  <c r="E576" i="6"/>
  <c r="G576" i="6" s="1"/>
  <c r="E584" i="6"/>
  <c r="G584" i="6" s="1"/>
  <c r="E583" i="6"/>
  <c r="G583" i="6" s="1"/>
  <c r="E580" i="6"/>
  <c r="G580" i="6" s="1"/>
  <c r="E578" i="6"/>
  <c r="G578" i="6" s="1"/>
  <c r="E577" i="6"/>
  <c r="G577" i="6" s="1"/>
  <c r="E574" i="6"/>
  <c r="G574" i="6" s="1"/>
  <c r="E570" i="6"/>
  <c r="G570" i="6" s="1"/>
  <c r="E569" i="6"/>
  <c r="G569" i="6" s="1"/>
  <c r="E572" i="6"/>
  <c r="G572" i="6" s="1"/>
  <c r="E571" i="6"/>
  <c r="G571" i="6" s="1"/>
  <c r="E568" i="6"/>
  <c r="G568" i="6" s="1"/>
  <c r="E563" i="6"/>
  <c r="G563" i="6" s="1"/>
  <c r="E564" i="6"/>
  <c r="G564" i="6" s="1"/>
  <c r="E566" i="6"/>
  <c r="G566" i="6" s="1"/>
  <c r="E565" i="6"/>
  <c r="G565" i="6" s="1"/>
  <c r="E562" i="6"/>
  <c r="G562" i="6" s="1"/>
  <c r="E557" i="6"/>
  <c r="G557" i="6" s="1"/>
  <c r="E558" i="6"/>
  <c r="G558" i="6" s="1"/>
  <c r="E560" i="6"/>
  <c r="G560" i="6" s="1"/>
  <c r="E559" i="6"/>
  <c r="G559" i="6" s="1"/>
  <c r="E556" i="6"/>
  <c r="G556" i="6" s="1"/>
  <c r="E551" i="6"/>
  <c r="G551" i="6" s="1"/>
  <c r="E552" i="6"/>
  <c r="G552" i="6" s="1"/>
  <c r="E554" i="6"/>
  <c r="G554" i="6" s="1"/>
  <c r="E553" i="6"/>
  <c r="G553" i="6" s="1"/>
  <c r="E550" i="6"/>
  <c r="G550" i="6" s="1"/>
  <c r="E546" i="6"/>
  <c r="G546" i="6" s="1"/>
  <c r="E545" i="6"/>
  <c r="G545" i="6" s="1"/>
  <c r="E548" i="6"/>
  <c r="G548" i="6" s="1"/>
  <c r="E547" i="6"/>
  <c r="G547" i="6" s="1"/>
  <c r="E544" i="6"/>
  <c r="G544" i="6" s="1"/>
  <c r="E539" i="6"/>
  <c r="G539" i="6" s="1"/>
  <c r="E540" i="6"/>
  <c r="G540" i="6" s="1"/>
  <c r="E542" i="6"/>
  <c r="G542" i="6" s="1"/>
  <c r="E541" i="6"/>
  <c r="G541" i="6" s="1"/>
  <c r="E538" i="6"/>
  <c r="G538" i="6" s="1"/>
  <c r="E533" i="6"/>
  <c r="G533" i="6" s="1"/>
  <c r="E535" i="6"/>
  <c r="G535" i="6" s="1"/>
  <c r="E530" i="6"/>
  <c r="G530" i="6" s="1"/>
  <c r="E528" i="6"/>
  <c r="G528" i="6" s="1"/>
  <c r="E525" i="6"/>
  <c r="E523" i="6"/>
  <c r="G523" i="6" s="1"/>
  <c r="G525" i="6"/>
  <c r="E518" i="6"/>
  <c r="G518" i="6" s="1"/>
  <c r="E516" i="6"/>
  <c r="G516" i="6" s="1"/>
  <c r="E509" i="6"/>
  <c r="G509" i="6" s="1"/>
  <c r="E511" i="6"/>
  <c r="G511" i="6" s="1"/>
  <c r="E476" i="6"/>
  <c r="G476" i="6" s="1"/>
  <c r="E474" i="6"/>
  <c r="G474" i="6" s="1"/>
  <c r="E475" i="6"/>
  <c r="G475" i="6" s="1"/>
  <c r="E477" i="6"/>
  <c r="G477" i="6" s="1"/>
  <c r="E469" i="6"/>
  <c r="G469" i="6" s="1"/>
  <c r="E470" i="6"/>
  <c r="G470" i="6" s="1"/>
  <c r="E463" i="6"/>
  <c r="G463" i="6" s="1"/>
  <c r="E464" i="6"/>
  <c r="G464" i="6" s="1"/>
  <c r="E457" i="6"/>
  <c r="E451" i="6"/>
  <c r="E453" i="6"/>
  <c r="G453" i="6" s="1"/>
  <c r="G451" i="6"/>
  <c r="E448" i="6"/>
  <c r="G448" i="6" s="1"/>
  <c r="E446" i="6"/>
  <c r="G446" i="6" s="1"/>
  <c r="E441" i="6"/>
  <c r="G441" i="6" s="1"/>
  <c r="E442" i="6"/>
  <c r="G442" i="6" s="1"/>
  <c r="E435" i="6"/>
  <c r="G435" i="6" s="1"/>
  <c r="E436" i="6"/>
  <c r="E430" i="6"/>
  <c r="G430" i="6" s="1"/>
  <c r="E429" i="6"/>
  <c r="G429" i="6" s="1"/>
  <c r="E423" i="6"/>
  <c r="G423" i="6" s="1"/>
  <c r="E424" i="6"/>
  <c r="G424" i="6" s="1"/>
  <c r="E413" i="6"/>
  <c r="G413" i="6" s="1"/>
  <c r="E401" i="6"/>
  <c r="G401" i="6" s="1"/>
  <c r="F400" i="6" s="1"/>
  <c r="G400" i="6" s="1"/>
  <c r="E390" i="6"/>
  <c r="G390" i="6" s="1"/>
  <c r="E391" i="6"/>
  <c r="G391" i="6" s="1"/>
  <c r="E387" i="6"/>
  <c r="G387" i="6" s="1"/>
  <c r="E388" i="6"/>
  <c r="G388" i="6" s="1"/>
  <c r="E378" i="6"/>
  <c r="G378" i="6" s="1"/>
  <c r="E379" i="6"/>
  <c r="G379" i="6" s="1"/>
  <c r="E381" i="6"/>
  <c r="G381" i="6" s="1"/>
  <c r="E374" i="6"/>
  <c r="G374" i="6" s="1"/>
  <c r="E375" i="6"/>
  <c r="G375" i="6" s="1"/>
  <c r="E369" i="6"/>
  <c r="E370" i="6"/>
  <c r="G370" i="6" s="1"/>
  <c r="G369" i="6"/>
  <c r="E366" i="6"/>
  <c r="G366" i="6" s="1"/>
  <c r="E365" i="6"/>
  <c r="G365" i="6" s="1"/>
  <c r="E362" i="6"/>
  <c r="G362" i="6" s="1"/>
  <c r="E361" i="6"/>
  <c r="G361" i="6" s="1"/>
  <c r="E358" i="6"/>
  <c r="G358" i="6" s="1"/>
  <c r="E357" i="6"/>
  <c r="G357" i="6" s="1"/>
  <c r="E347" i="6"/>
  <c r="G347" i="6" s="1"/>
  <c r="E346" i="6"/>
  <c r="G346" i="6" s="1"/>
  <c r="E342" i="6"/>
  <c r="G342" i="6" s="1"/>
  <c r="H341" i="6" s="1"/>
  <c r="E338" i="6"/>
  <c r="G338" i="6" s="1"/>
  <c r="E337" i="6"/>
  <c r="E332" i="6"/>
  <c r="G332" i="6" s="1"/>
  <c r="E331" i="6"/>
  <c r="G331" i="6" s="1"/>
  <c r="E303" i="6"/>
  <c r="G303" i="6" s="1"/>
  <c r="E302" i="6"/>
  <c r="G302" i="6" s="1"/>
  <c r="E301" i="6"/>
  <c r="G301" i="6" s="1"/>
  <c r="E300" i="6"/>
  <c r="G300" i="6" s="1"/>
  <c r="E299" i="6"/>
  <c r="G299" i="6" s="1"/>
  <c r="E298" i="6"/>
  <c r="G298" i="6" s="1"/>
  <c r="E297" i="6"/>
  <c r="E296" i="6"/>
  <c r="E290" i="6"/>
  <c r="G290" i="6" s="1"/>
  <c r="E289" i="6"/>
  <c r="G289" i="6" s="1"/>
  <c r="E288" i="6"/>
  <c r="G288" i="6" s="1"/>
  <c r="E287" i="6"/>
  <c r="G287" i="6" s="1"/>
  <c r="E286" i="6"/>
  <c r="G286" i="6" s="1"/>
  <c r="E281" i="6"/>
  <c r="G281" i="6" s="1"/>
  <c r="E283" i="6"/>
  <c r="G283" i="6" s="1"/>
  <c r="E280" i="6"/>
  <c r="G280" i="6" s="1"/>
  <c r="E271" i="6"/>
  <c r="G271" i="6" s="1"/>
  <c r="E270" i="6"/>
  <c r="G270" i="6" s="1"/>
  <c r="E269" i="6"/>
  <c r="G269" i="6" s="1"/>
  <c r="E268" i="6"/>
  <c r="G268" i="6" s="1"/>
  <c r="E267" i="6"/>
  <c r="G267" i="6" s="1"/>
  <c r="E265" i="6"/>
  <c r="G265" i="6" s="1"/>
  <c r="E264" i="6"/>
  <c r="G264" i="6" s="1"/>
  <c r="E263" i="6"/>
  <c r="G263" i="6" s="1"/>
  <c r="E262" i="6"/>
  <c r="G262" i="6" s="1"/>
  <c r="E261" i="6"/>
  <c r="G261" i="6" s="1"/>
  <c r="E259" i="6"/>
  <c r="G259" i="6" s="1"/>
  <c r="E258" i="6"/>
  <c r="G258" i="6" s="1"/>
  <c r="E257" i="6"/>
  <c r="G257" i="6" s="1"/>
  <c r="E256" i="6"/>
  <c r="G256" i="6" s="1"/>
  <c r="E255" i="6"/>
  <c r="G255" i="6" s="1"/>
  <c r="E253" i="6"/>
  <c r="G253" i="6" s="1"/>
  <c r="E252" i="6"/>
  <c r="G252" i="6" s="1"/>
  <c r="E251" i="6"/>
  <c r="G251" i="6" s="1"/>
  <c r="E250" i="6"/>
  <c r="G250" i="6" s="1"/>
  <c r="E249" i="6"/>
  <c r="G249" i="6" s="1"/>
  <c r="E234" i="6"/>
  <c r="G234" i="6" s="1"/>
  <c r="E233" i="6"/>
  <c r="G233" i="6" s="1"/>
  <c r="E230" i="6"/>
  <c r="G230" i="6" s="1"/>
  <c r="E229" i="6"/>
  <c r="G229" i="6" s="1"/>
  <c r="E205" i="6"/>
  <c r="E211" i="6" s="1"/>
  <c r="G211" i="6" s="1"/>
  <c r="E199" i="6"/>
  <c r="G199" i="6" s="1"/>
  <c r="E198" i="6"/>
  <c r="G198" i="6" s="1"/>
  <c r="E196" i="6"/>
  <c r="G196" i="6" s="1"/>
  <c r="E187" i="6"/>
  <c r="G187" i="6" s="1"/>
  <c r="E186" i="6"/>
  <c r="G186" i="6" s="1"/>
  <c r="E184" i="6"/>
  <c r="G184" i="6" s="1"/>
  <c r="E172" i="6"/>
  <c r="G172" i="6" s="1"/>
  <c r="E166" i="6"/>
  <c r="G166" i="6" s="1"/>
  <c r="E167" i="6"/>
  <c r="G167" i="6" s="1"/>
  <c r="E165" i="6"/>
  <c r="G165" i="6" s="1"/>
  <c r="E164" i="6"/>
  <c r="G164" i="6" s="1"/>
  <c r="E158" i="6"/>
  <c r="G158" i="6" s="1"/>
  <c r="E155" i="6"/>
  <c r="E150" i="6"/>
  <c r="G150" i="6" s="1"/>
  <c r="E153" i="6"/>
  <c r="G153" i="6" s="1"/>
  <c r="E152" i="6"/>
  <c r="G152" i="6" s="1"/>
  <c r="E151" i="6"/>
  <c r="G151" i="6" s="1"/>
  <c r="G144" i="6"/>
  <c r="G143" i="6"/>
  <c r="E137" i="6"/>
  <c r="G137" i="6" s="1"/>
  <c r="E136" i="6"/>
  <c r="G136" i="6" s="1"/>
  <c r="E119" i="6"/>
  <c r="G119" i="6" s="1"/>
  <c r="E121" i="6"/>
  <c r="G121" i="6" s="1"/>
  <c r="E120" i="6"/>
  <c r="G120" i="6" s="1"/>
  <c r="E109" i="6"/>
  <c r="G109" i="6" s="1"/>
  <c r="E111" i="6"/>
  <c r="G111" i="6" s="1"/>
  <c r="E110" i="6"/>
  <c r="G110" i="6" s="1"/>
  <c r="E107" i="6"/>
  <c r="G107" i="6" s="1"/>
  <c r="E106" i="6"/>
  <c r="G106" i="6" s="1"/>
  <c r="E105" i="6"/>
  <c r="G105" i="6" s="1"/>
  <c r="E104" i="6"/>
  <c r="G104" i="6" s="1"/>
  <c r="E102" i="6"/>
  <c r="G102" i="6" s="1"/>
  <c r="E101" i="6"/>
  <c r="G101" i="6" s="1"/>
  <c r="E100" i="6"/>
  <c r="G100" i="6" s="1"/>
  <c r="E99" i="6"/>
  <c r="G99" i="6" s="1"/>
  <c r="E96" i="6"/>
  <c r="G96" i="6" s="1"/>
  <c r="E95" i="6"/>
  <c r="G95" i="6" s="1"/>
  <c r="E94" i="6"/>
  <c r="G94" i="6" s="1"/>
  <c r="E93" i="6"/>
  <c r="G93" i="6" s="1"/>
  <c r="E92" i="6"/>
  <c r="G92" i="6" s="1"/>
  <c r="E91" i="6"/>
  <c r="G91" i="6" s="1"/>
  <c r="E89" i="6"/>
  <c r="G89" i="6" s="1"/>
  <c r="E88" i="6"/>
  <c r="G88" i="6" s="1"/>
  <c r="E87" i="6"/>
  <c r="G87" i="6" s="1"/>
  <c r="I86" i="6"/>
  <c r="E86" i="6"/>
  <c r="G86" i="6" s="1"/>
  <c r="E78" i="6"/>
  <c r="G78" i="6" s="1"/>
  <c r="E77" i="6"/>
  <c r="G77" i="6" s="1"/>
  <c r="E84" i="6"/>
  <c r="G84" i="6" s="1"/>
  <c r="E83" i="6"/>
  <c r="G83" i="6" s="1"/>
  <c r="E82" i="6"/>
  <c r="G82" i="6" s="1"/>
  <c r="E81" i="6"/>
  <c r="G81" i="6" s="1"/>
  <c r="E80" i="6"/>
  <c r="G80" i="6" s="1"/>
  <c r="E79" i="6"/>
  <c r="G79" i="6" s="1"/>
  <c r="E71" i="6"/>
  <c r="G71" i="6" s="1"/>
  <c r="E66" i="6"/>
  <c r="G66" i="6" s="1"/>
  <c r="E64" i="6"/>
  <c r="G64" i="6" s="1"/>
  <c r="E57" i="6"/>
  <c r="G57" i="6" s="1"/>
  <c r="F56" i="6" s="1"/>
  <c r="E55" i="6"/>
  <c r="G55" i="6" s="1"/>
  <c r="E54" i="6"/>
  <c r="G54" i="6" s="1"/>
  <c r="E53" i="6"/>
  <c r="G53" i="6" s="1"/>
  <c r="E52" i="6"/>
  <c r="G52" i="6" s="1"/>
  <c r="E48" i="6"/>
  <c r="G48" i="6" s="1"/>
  <c r="F47" i="6" s="1"/>
  <c r="E46" i="6"/>
  <c r="I41" i="6"/>
  <c r="E34" i="6"/>
  <c r="G34" i="6" s="1"/>
  <c r="E36" i="6"/>
  <c r="G36" i="6" s="1"/>
  <c r="E35" i="6"/>
  <c r="E27" i="6"/>
  <c r="G27" i="6" s="1"/>
  <c r="E31" i="6"/>
  <c r="G31" i="6" s="1"/>
  <c r="E30" i="6"/>
  <c r="G30" i="6" s="1"/>
  <c r="E29" i="6"/>
  <c r="E28" i="6"/>
  <c r="G28" i="6" s="1"/>
  <c r="E20" i="6"/>
  <c r="G20" i="6" s="1"/>
  <c r="E19" i="6"/>
  <c r="G19" i="6" s="1"/>
  <c r="E16" i="6"/>
  <c r="E13" i="6"/>
  <c r="G13" i="6" s="1"/>
  <c r="E17" i="6"/>
  <c r="G17" i="6" s="1"/>
  <c r="E14" i="6"/>
  <c r="G14" i="6" s="1"/>
  <c r="F308" i="6"/>
  <c r="G307" i="6"/>
  <c r="E306" i="6"/>
  <c r="G306" i="6" s="1"/>
  <c r="E305" i="6"/>
  <c r="G305" i="6" s="1"/>
  <c r="E308" i="6"/>
  <c r="F1134" i="6"/>
  <c r="E1134" i="6"/>
  <c r="E1133" i="6"/>
  <c r="G1133" i="6" s="1"/>
  <c r="E1132" i="6"/>
  <c r="G1132" i="6" s="1"/>
  <c r="E1131" i="6"/>
  <c r="G1131" i="6" s="1"/>
  <c r="F1129" i="6"/>
  <c r="E1122" i="6"/>
  <c r="G1122" i="6" s="1"/>
  <c r="E1121" i="6"/>
  <c r="G1121" i="6" s="1"/>
  <c r="F1124" i="6"/>
  <c r="E1124" i="6"/>
  <c r="E1123" i="6"/>
  <c r="G1123" i="6" s="1"/>
  <c r="F1119" i="6"/>
  <c r="E1102" i="6"/>
  <c r="G1102" i="6" s="1"/>
  <c r="E1101" i="6"/>
  <c r="G1101" i="6" s="1"/>
  <c r="E1107" i="6"/>
  <c r="G1107" i="6" s="1"/>
  <c r="E1106" i="6"/>
  <c r="G1106" i="6" s="1"/>
  <c r="F1114" i="6"/>
  <c r="F1109" i="6"/>
  <c r="F1104" i="6"/>
  <c r="E1109" i="6"/>
  <c r="E1108" i="6"/>
  <c r="G1108" i="6" s="1"/>
  <c r="E1104" i="6"/>
  <c r="E1103" i="6"/>
  <c r="G1103" i="6" s="1"/>
  <c r="F1099" i="6"/>
  <c r="E1097" i="6"/>
  <c r="G1097" i="6" s="1"/>
  <c r="E1096" i="6"/>
  <c r="G1096" i="6" s="1"/>
  <c r="E1092" i="6"/>
  <c r="G1092" i="6" s="1"/>
  <c r="E1091" i="6"/>
  <c r="G1091" i="6" s="1"/>
  <c r="F1094" i="6"/>
  <c r="F1089" i="6"/>
  <c r="F1084" i="6"/>
  <c r="E1082" i="6"/>
  <c r="G1082" i="6" s="1"/>
  <c r="E1081" i="6"/>
  <c r="G1081" i="6" s="1"/>
  <c r="E1084" i="6"/>
  <c r="E1083" i="6"/>
  <c r="G1083" i="6" s="1"/>
  <c r="F1079" i="6"/>
  <c r="E1077" i="6"/>
  <c r="G1077" i="6" s="1"/>
  <c r="E1076" i="6"/>
  <c r="G1076" i="6" s="1"/>
  <c r="E1079" i="6"/>
  <c r="E1078" i="6"/>
  <c r="G1078" i="6" s="1"/>
  <c r="E1072" i="6"/>
  <c r="G1072" i="6" s="1"/>
  <c r="E1071" i="6"/>
  <c r="E1067" i="6"/>
  <c r="G1067" i="6" s="1"/>
  <c r="E1066" i="6"/>
  <c r="G1066" i="6" s="1"/>
  <c r="F1074" i="6"/>
  <c r="F1069" i="6"/>
  <c r="F1064" i="6"/>
  <c r="E1062" i="6"/>
  <c r="G1062" i="6" s="1"/>
  <c r="E1061" i="6"/>
  <c r="G1061" i="6" s="1"/>
  <c r="E1042" i="6"/>
  <c r="G1042" i="6" s="1"/>
  <c r="E1041" i="6"/>
  <c r="G1041" i="6" s="1"/>
  <c r="F1044" i="6"/>
  <c r="E1044" i="6"/>
  <c r="E1043" i="6"/>
  <c r="G1043" i="6" s="1"/>
  <c r="E1027" i="6"/>
  <c r="G1027" i="6" s="1"/>
  <c r="E1026" i="6"/>
  <c r="G1026" i="6" s="1"/>
  <c r="F1034" i="6"/>
  <c r="F1029" i="6"/>
  <c r="E1951" i="6"/>
  <c r="G1951" i="6" s="1"/>
  <c r="H1952" i="6" s="1"/>
  <c r="E1952" i="6"/>
  <c r="G1952" i="6" s="1"/>
  <c r="H1950" i="6" s="1"/>
  <c r="I801" i="6"/>
  <c r="H800" i="6"/>
  <c r="H799" i="6"/>
  <c r="I800" i="6"/>
  <c r="I799" i="6"/>
  <c r="E1691" i="6"/>
  <c r="G1691" i="6" s="1"/>
  <c r="E1690" i="6"/>
  <c r="G1690" i="6" s="1"/>
  <c r="E1686" i="6"/>
  <c r="G1686" i="6" s="1"/>
  <c r="H1686" i="6" s="1"/>
  <c r="H1684" i="6" s="1"/>
  <c r="E1681" i="6"/>
  <c r="G1681" i="6" s="1"/>
  <c r="H1681" i="6" s="1"/>
  <c r="H1679" i="6" s="1"/>
  <c r="E1677" i="6"/>
  <c r="G1677" i="6" s="1"/>
  <c r="H1677" i="6" s="1"/>
  <c r="H1675" i="6" s="1"/>
  <c r="E1673" i="6"/>
  <c r="G1673" i="6" s="1"/>
  <c r="H1673" i="6" s="1"/>
  <c r="H1671" i="6" s="1"/>
  <c r="E1171" i="6"/>
  <c r="G1171" i="6" s="1"/>
  <c r="E1172" i="6"/>
  <c r="G1172" i="6" s="1"/>
  <c r="E25" i="6"/>
  <c r="G25" i="6" s="1"/>
  <c r="E24" i="6"/>
  <c r="G24" i="6" s="1"/>
  <c r="E23" i="6"/>
  <c r="E22" i="6"/>
  <c r="E21" i="6"/>
  <c r="G21" i="6" s="1"/>
  <c r="G23" i="6"/>
  <c r="G22" i="6"/>
  <c r="E1700" i="6"/>
  <c r="G1700" i="6" s="1"/>
  <c r="E1703" i="6"/>
  <c r="G1703" i="6" s="1"/>
  <c r="G1590" i="6"/>
  <c r="H1590" i="6" s="1"/>
  <c r="H1588" i="6" s="1"/>
  <c r="G1573" i="6"/>
  <c r="E1516" i="6"/>
  <c r="G1516" i="6" s="1"/>
  <c r="E1515" i="6"/>
  <c r="G1515" i="6" s="1"/>
  <c r="G1514" i="6"/>
  <c r="G1513" i="6"/>
  <c r="E1511" i="6"/>
  <c r="G1511" i="6" s="1"/>
  <c r="H1511" i="6" s="1"/>
  <c r="H1509" i="6" s="1"/>
  <c r="E1507" i="6"/>
  <c r="G1507" i="6" s="1"/>
  <c r="H1507" i="6" s="1"/>
  <c r="H1505" i="6" s="1"/>
  <c r="E1492" i="6"/>
  <c r="G1492" i="6" s="1"/>
  <c r="E1432" i="6"/>
  <c r="G1432" i="6" s="1"/>
  <c r="H1433" i="6" s="1"/>
  <c r="H1431" i="6" s="1"/>
  <c r="E1428" i="6"/>
  <c r="G1428" i="6" s="1"/>
  <c r="H1429" i="6" s="1"/>
  <c r="H1427" i="6" s="1"/>
  <c r="E1424" i="6"/>
  <c r="G1424" i="6" s="1"/>
  <c r="H1425" i="6" s="1"/>
  <c r="H1423" i="6" s="1"/>
  <c r="E1420" i="6"/>
  <c r="G1420" i="6" s="1"/>
  <c r="H1421" i="6" s="1"/>
  <c r="H1419" i="6" s="1"/>
  <c r="G1417" i="6"/>
  <c r="E1416" i="6"/>
  <c r="G1416" i="6" s="1"/>
  <c r="G1398" i="6"/>
  <c r="E1395" i="6"/>
  <c r="G1395" i="6" s="1"/>
  <c r="G1393" i="6"/>
  <c r="E1390" i="6"/>
  <c r="G1390" i="6" s="1"/>
  <c r="G1388" i="6"/>
  <c r="E1385" i="6"/>
  <c r="G1385" i="6" s="1"/>
  <c r="G1383" i="6"/>
  <c r="E1380" i="6"/>
  <c r="G1380" i="6" s="1"/>
  <c r="E1378" i="6"/>
  <c r="G1378" i="6" s="1"/>
  <c r="E1375" i="6"/>
  <c r="G1375" i="6" s="1"/>
  <c r="E1373" i="6"/>
  <c r="G1373" i="6" s="1"/>
  <c r="E1370" i="6"/>
  <c r="G1370" i="6" s="1"/>
  <c r="F1223" i="6"/>
  <c r="E1211" i="6"/>
  <c r="G1211" i="6" s="1"/>
  <c r="E1209" i="6"/>
  <c r="G1209" i="6" s="1"/>
  <c r="E1208" i="6"/>
  <c r="G1208" i="6" s="1"/>
  <c r="E1203" i="6"/>
  <c r="G1203" i="6" s="1"/>
  <c r="E1202" i="6"/>
  <c r="G1202" i="6" s="1"/>
  <c r="E1214" i="6"/>
  <c r="G1214" i="6" s="1"/>
  <c r="E1205" i="6"/>
  <c r="G1205" i="6" s="1"/>
  <c r="E1199" i="6"/>
  <c r="G1199" i="6" s="1"/>
  <c r="E1197" i="6"/>
  <c r="G1197" i="6" s="1"/>
  <c r="E1193" i="6"/>
  <c r="G1193" i="6" s="1"/>
  <c r="E1196" i="6"/>
  <c r="G1196" i="6" s="1"/>
  <c r="E1191" i="6"/>
  <c r="G1191" i="6" s="1"/>
  <c r="E1187" i="6"/>
  <c r="G1187" i="6" s="1"/>
  <c r="E1190" i="6"/>
  <c r="G1190" i="6" s="1"/>
  <c r="E1185" i="6"/>
  <c r="G1185" i="6" s="1"/>
  <c r="E1184" i="6"/>
  <c r="G1184" i="6" s="1"/>
  <c r="E1181" i="6"/>
  <c r="G1181" i="6" s="1"/>
  <c r="E1179" i="6"/>
  <c r="G1179" i="6" s="1"/>
  <c r="E1175" i="6"/>
  <c r="G1175" i="6" s="1"/>
  <c r="E991" i="6"/>
  <c r="G991" i="6" s="1"/>
  <c r="E986" i="6"/>
  <c r="G986" i="6" s="1"/>
  <c r="E990" i="6"/>
  <c r="G990" i="6" s="1"/>
  <c r="E987" i="6"/>
  <c r="G987" i="6" s="1"/>
  <c r="E984" i="6"/>
  <c r="G984" i="6" s="1"/>
  <c r="E983" i="6"/>
  <c r="G983" i="6" s="1"/>
  <c r="E980" i="6"/>
  <c r="G980" i="6" s="1"/>
  <c r="E979" i="6"/>
  <c r="G979" i="6" s="1"/>
  <c r="E977" i="6"/>
  <c r="E973" i="6"/>
  <c r="G973" i="6" s="1"/>
  <c r="G977" i="6"/>
  <c r="G976" i="6"/>
  <c r="E971" i="6"/>
  <c r="G971" i="6" s="1"/>
  <c r="E967" i="6"/>
  <c r="G967" i="6" s="1"/>
  <c r="G970" i="6"/>
  <c r="E961" i="6"/>
  <c r="G961" i="6" s="1"/>
  <c r="E965" i="6"/>
  <c r="G965" i="6" s="1"/>
  <c r="G964" i="6"/>
  <c r="E959" i="6"/>
  <c r="G959" i="6" s="1"/>
  <c r="E958" i="6"/>
  <c r="G958" i="6" s="1"/>
  <c r="G955" i="6"/>
  <c r="E953" i="6"/>
  <c r="G953" i="6" s="1"/>
  <c r="E952" i="6"/>
  <c r="G952" i="6" s="1"/>
  <c r="G949" i="6"/>
  <c r="E947" i="6"/>
  <c r="G947" i="6" s="1"/>
  <c r="E946" i="6"/>
  <c r="G946" i="6" s="1"/>
  <c r="E945" i="6"/>
  <c r="G945" i="6" s="1"/>
  <c r="E944" i="6"/>
  <c r="G944" i="6" s="1"/>
  <c r="E943" i="6"/>
  <c r="G943" i="6" s="1"/>
  <c r="E941" i="6"/>
  <c r="G941" i="6" s="1"/>
  <c r="E940" i="6"/>
  <c r="G940" i="6" s="1"/>
  <c r="E939" i="6"/>
  <c r="G939" i="6" s="1"/>
  <c r="E938" i="6"/>
  <c r="G938" i="6" s="1"/>
  <c r="E937" i="6"/>
  <c r="G937" i="6" s="1"/>
  <c r="E935" i="6"/>
  <c r="G935" i="6" s="1"/>
  <c r="E934" i="6"/>
  <c r="G934" i="6" s="1"/>
  <c r="E933" i="6"/>
  <c r="G933" i="6" s="1"/>
  <c r="E932" i="6"/>
  <c r="G932" i="6" s="1"/>
  <c r="E931" i="6"/>
  <c r="G931" i="6" s="1"/>
  <c r="E929" i="6"/>
  <c r="G929" i="6" s="1"/>
  <c r="E925" i="6"/>
  <c r="G925" i="6" s="1"/>
  <c r="E928" i="6"/>
  <c r="G928" i="6" s="1"/>
  <c r="E923" i="6"/>
  <c r="G923" i="6" s="1"/>
  <c r="E919" i="6"/>
  <c r="G919" i="6" s="1"/>
  <c r="E922" i="6"/>
  <c r="G922" i="6" s="1"/>
  <c r="E917" i="6"/>
  <c r="G917" i="6" s="1"/>
  <c r="E913" i="6"/>
  <c r="G913" i="6" s="1"/>
  <c r="E916" i="6"/>
  <c r="G916" i="6" s="1"/>
  <c r="E911" i="6"/>
  <c r="G911" i="6" s="1"/>
  <c r="E907" i="6"/>
  <c r="G907" i="6" s="1"/>
  <c r="E910" i="6"/>
  <c r="G910" i="6" s="1"/>
  <c r="E905" i="6"/>
  <c r="G905" i="6" s="1"/>
  <c r="E901" i="6"/>
  <c r="G901" i="6" s="1"/>
  <c r="E904" i="6"/>
  <c r="G904" i="6" s="1"/>
  <c r="E899" i="6"/>
  <c r="G899" i="6" s="1"/>
  <c r="E895" i="6"/>
  <c r="G895" i="6" s="1"/>
  <c r="E898" i="6"/>
  <c r="G898" i="6" s="1"/>
  <c r="E893" i="6"/>
  <c r="G893" i="6" s="1"/>
  <c r="E889" i="6"/>
  <c r="G889" i="6" s="1"/>
  <c r="E892" i="6"/>
  <c r="G892" i="6" s="1"/>
  <c r="E881" i="6"/>
  <c r="G881" i="6" s="1"/>
  <c r="E877" i="6"/>
  <c r="G877" i="6" s="1"/>
  <c r="E887" i="6"/>
  <c r="G887" i="6" s="1"/>
  <c r="E883" i="6"/>
  <c r="G883" i="6" s="1"/>
  <c r="E886" i="6"/>
  <c r="G886" i="6" s="1"/>
  <c r="E880" i="6"/>
  <c r="G880" i="6" s="1"/>
  <c r="E875" i="6"/>
  <c r="G875" i="6" s="1"/>
  <c r="E871" i="6"/>
  <c r="G871" i="6" s="1"/>
  <c r="E874" i="6"/>
  <c r="G874" i="6" s="1"/>
  <c r="E869" i="6"/>
  <c r="E865" i="6"/>
  <c r="G865" i="6" s="1"/>
  <c r="G869" i="6"/>
  <c r="E868" i="6"/>
  <c r="G868" i="6" s="1"/>
  <c r="E863" i="6"/>
  <c r="G863" i="6" s="1"/>
  <c r="E859" i="6"/>
  <c r="G859" i="6" s="1"/>
  <c r="E862" i="6"/>
  <c r="G862" i="6" s="1"/>
  <c r="E857" i="6"/>
  <c r="G857" i="6" s="1"/>
  <c r="E856" i="6"/>
  <c r="G856" i="6" s="1"/>
  <c r="E853" i="6"/>
  <c r="G853" i="6" s="1"/>
  <c r="E851" i="6"/>
  <c r="G851" i="6" s="1"/>
  <c r="E847" i="6"/>
  <c r="G847" i="6" s="1"/>
  <c r="E850" i="6"/>
  <c r="G850" i="6" s="1"/>
  <c r="E841" i="6"/>
  <c r="G841" i="6" s="1"/>
  <c r="E845" i="6"/>
  <c r="G845" i="6" s="1"/>
  <c r="E844" i="6"/>
  <c r="G844" i="6" s="1"/>
  <c r="E839" i="6"/>
  <c r="G839" i="6" s="1"/>
  <c r="E834" i="6"/>
  <c r="G834" i="6" s="1"/>
  <c r="E829" i="6"/>
  <c r="G829" i="6" s="1"/>
  <c r="E735" i="6"/>
  <c r="E737" i="6" s="1"/>
  <c r="G737" i="6" s="1"/>
  <c r="E732" i="6"/>
  <c r="E734" i="6" s="1"/>
  <c r="G734" i="6" s="1"/>
  <c r="E729" i="6"/>
  <c r="E731" i="6" s="1"/>
  <c r="G731" i="6" s="1"/>
  <c r="E725" i="6"/>
  <c r="E727" i="6" s="1"/>
  <c r="G727" i="6" s="1"/>
  <c r="F704" i="6"/>
  <c r="G704" i="6" s="1"/>
  <c r="F699" i="6"/>
  <c r="G699" i="6" s="1"/>
  <c r="G671" i="6"/>
  <c r="E655" i="6"/>
  <c r="G655" i="6" s="1"/>
  <c r="E650" i="6"/>
  <c r="G650" i="6" s="1"/>
  <c r="F647" i="6"/>
  <c r="E638" i="6"/>
  <c r="G638" i="6" s="1"/>
  <c r="E633" i="6"/>
  <c r="G633" i="6" s="1"/>
  <c r="E628" i="6"/>
  <c r="G628" i="6" s="1"/>
  <c r="E618" i="6"/>
  <c r="G618" i="6" s="1"/>
  <c r="E608" i="6"/>
  <c r="G608" i="6" s="1"/>
  <c r="E603" i="6"/>
  <c r="G603" i="6" s="1"/>
  <c r="E529" i="6"/>
  <c r="G529" i="6" s="1"/>
  <c r="E512" i="6"/>
  <c r="G512" i="6" s="1"/>
  <c r="E510" i="6"/>
  <c r="G510" i="6" s="1"/>
  <c r="E508" i="6"/>
  <c r="G508" i="6" s="1"/>
  <c r="E452" i="6"/>
  <c r="G452" i="6" s="1"/>
  <c r="E454" i="6"/>
  <c r="G454" i="6" s="1"/>
  <c r="E447" i="6"/>
  <c r="G447" i="6" s="1"/>
  <c r="E449" i="6"/>
  <c r="G449" i="6" s="1"/>
  <c r="E471" i="6"/>
  <c r="G471" i="6" s="1"/>
  <c r="E468" i="6"/>
  <c r="G468" i="6" s="1"/>
  <c r="E462" i="6"/>
  <c r="G462" i="6" s="1"/>
  <c r="E459" i="6"/>
  <c r="G459" i="6" s="1"/>
  <c r="E456" i="6"/>
  <c r="E437" i="6"/>
  <c r="G437" i="6" s="1"/>
  <c r="E434" i="6"/>
  <c r="G434" i="6" s="1"/>
  <c r="E431" i="6"/>
  <c r="G431" i="6" s="1"/>
  <c r="E428" i="6"/>
  <c r="G428" i="6" s="1"/>
  <c r="E425" i="6"/>
  <c r="G425" i="6" s="1"/>
  <c r="E422" i="6"/>
  <c r="G422" i="6" s="1"/>
  <c r="E419" i="6"/>
  <c r="G419" i="6" s="1"/>
  <c r="E416" i="6"/>
  <c r="G416" i="6" s="1"/>
  <c r="E406" i="6"/>
  <c r="G406" i="6" s="1"/>
  <c r="E405" i="6"/>
  <c r="G405" i="6" s="1"/>
  <c r="E404" i="6"/>
  <c r="G404" i="6" s="1"/>
  <c r="E403" i="6"/>
  <c r="G403" i="6" s="1"/>
  <c r="E396" i="6"/>
  <c r="E394" i="6"/>
  <c r="G394" i="6" s="1"/>
  <c r="E393" i="6"/>
  <c r="G393" i="6" s="1"/>
  <c r="E392" i="6"/>
  <c r="G392" i="6" s="1"/>
  <c r="E386" i="6"/>
  <c r="G386" i="6" s="1"/>
  <c r="E385" i="6"/>
  <c r="G385" i="6" s="1"/>
  <c r="E384" i="6"/>
  <c r="G384" i="6" s="1"/>
  <c r="E380" i="6"/>
  <c r="G380" i="6" s="1"/>
  <c r="E376" i="6"/>
  <c r="G376" i="6" s="1"/>
  <c r="H376" i="6" s="1"/>
  <c r="H374" i="6" s="1"/>
  <c r="E371" i="6"/>
  <c r="G371" i="6" s="1"/>
  <c r="H371" i="6" s="1"/>
  <c r="H369" i="6" s="1"/>
  <c r="E367" i="6"/>
  <c r="G367" i="6" s="1"/>
  <c r="H367" i="6" s="1"/>
  <c r="H365" i="6" s="1"/>
  <c r="E363" i="6"/>
  <c r="G363" i="6" s="1"/>
  <c r="H363" i="6" s="1"/>
  <c r="H361" i="6" s="1"/>
  <c r="E359" i="6"/>
  <c r="G359" i="6" s="1"/>
  <c r="E356" i="6"/>
  <c r="G356" i="6" s="1"/>
  <c r="E355" i="6"/>
  <c r="G355" i="6" s="1"/>
  <c r="E352" i="6"/>
  <c r="G352" i="6" s="1"/>
  <c r="H352" i="6" s="1"/>
  <c r="H350" i="6" s="1"/>
  <c r="E348" i="6"/>
  <c r="G348" i="6" s="1"/>
  <c r="H348" i="6" s="1"/>
  <c r="H346" i="6" s="1"/>
  <c r="E340" i="6"/>
  <c r="G340" i="6" s="1"/>
  <c r="F316" i="6"/>
  <c r="F312" i="6"/>
  <c r="F297" i="6"/>
  <c r="F296" i="6"/>
  <c r="E282" i="6"/>
  <c r="G282" i="6" s="1"/>
  <c r="E200" i="6"/>
  <c r="G200" i="6" s="1"/>
  <c r="E204" i="6"/>
  <c r="G204" i="6" s="1"/>
  <c r="E201" i="6"/>
  <c r="G201" i="6" s="1"/>
  <c r="E177" i="6"/>
  <c r="G177" i="6" s="1"/>
  <c r="E192" i="6"/>
  <c r="G192" i="6" s="1"/>
  <c r="E188" i="6"/>
  <c r="G188" i="6" s="1"/>
  <c r="E189" i="6"/>
  <c r="G189" i="6" s="1"/>
  <c r="H146" i="6"/>
  <c r="E148" i="6"/>
  <c r="G148" i="6" s="1"/>
  <c r="E147" i="6"/>
  <c r="G147" i="6" s="1"/>
  <c r="E146" i="6"/>
  <c r="G146" i="6" s="1"/>
  <c r="E145" i="6"/>
  <c r="G145" i="6" s="1"/>
  <c r="E138" i="6"/>
  <c r="G138" i="6" s="1"/>
  <c r="E139" i="6"/>
  <c r="G139" i="6" s="1"/>
  <c r="E140" i="6"/>
  <c r="G140" i="6" s="1"/>
  <c r="E141" i="6"/>
  <c r="G141" i="6" s="1"/>
  <c r="E160" i="6"/>
  <c r="G160" i="6" s="1"/>
  <c r="E159" i="6"/>
  <c r="E132" i="6"/>
  <c r="G132" i="6" s="1"/>
  <c r="E131" i="6"/>
  <c r="G131" i="6" s="1"/>
  <c r="E130" i="6"/>
  <c r="G130" i="6" s="1"/>
  <c r="E123" i="6"/>
  <c r="G123" i="6" s="1"/>
  <c r="E122" i="6"/>
  <c r="G122" i="6" s="1"/>
  <c r="E127" i="6"/>
  <c r="G127" i="6" s="1"/>
  <c r="E126" i="6"/>
  <c r="G126" i="6" s="1"/>
  <c r="E125" i="6"/>
  <c r="G125" i="6" s="1"/>
  <c r="E124" i="6"/>
  <c r="G124" i="6" s="1"/>
  <c r="E117" i="6"/>
  <c r="G117" i="6" s="1"/>
  <c r="E115" i="6"/>
  <c r="G115" i="6" s="1"/>
  <c r="E113" i="6"/>
  <c r="G113" i="6" s="1"/>
  <c r="E112" i="6"/>
  <c r="G112" i="6" s="1"/>
  <c r="E72" i="6"/>
  <c r="G72" i="6" s="1"/>
  <c r="E67" i="6"/>
  <c r="G67" i="6" s="1"/>
  <c r="E62" i="6"/>
  <c r="G62" i="6" s="1"/>
  <c r="E61" i="6"/>
  <c r="G61" i="6" s="1"/>
  <c r="E60" i="6"/>
  <c r="G60" i="6" s="1"/>
  <c r="E59" i="6"/>
  <c r="E51" i="6"/>
  <c r="G51" i="6" s="1"/>
  <c r="E50" i="6"/>
  <c r="G50" i="6" s="1"/>
  <c r="E42" i="6"/>
  <c r="G42" i="6" s="1"/>
  <c r="E41" i="6"/>
  <c r="G41" i="6" s="1"/>
  <c r="E39" i="6"/>
  <c r="G39" i="6" s="1"/>
  <c r="E38" i="6"/>
  <c r="G38" i="6" s="1"/>
  <c r="E37" i="6"/>
  <c r="G37" i="6" s="1"/>
  <c r="E805" i="6"/>
  <c r="E804" i="6" s="1"/>
  <c r="G804" i="6" s="1"/>
  <c r="E802" i="6"/>
  <c r="G802" i="6" s="1"/>
  <c r="E801" i="6"/>
  <c r="G801" i="6" s="1"/>
  <c r="E800" i="6"/>
  <c r="G800" i="6" s="1"/>
  <c r="E798" i="6"/>
  <c r="E799" i="6" s="1"/>
  <c r="G799" i="6" s="1"/>
  <c r="E797" i="6"/>
  <c r="G797" i="6" s="1"/>
  <c r="E795" i="6"/>
  <c r="G795" i="6" s="1"/>
  <c r="E794" i="6"/>
  <c r="G794" i="6" s="1"/>
  <c r="E793" i="6"/>
  <c r="E796" i="6" s="1"/>
  <c r="G796" i="6" s="1"/>
  <c r="G811" i="6"/>
  <c r="G810" i="6"/>
  <c r="G809" i="6"/>
  <c r="G808" i="6"/>
  <c r="G807" i="6"/>
  <c r="G792" i="6"/>
  <c r="G791" i="6"/>
  <c r="G790" i="6"/>
  <c r="G789" i="6"/>
  <c r="E758" i="6"/>
  <c r="G758" i="6" s="1"/>
  <c r="E756" i="6"/>
  <c r="G756" i="6" s="1"/>
  <c r="E757" i="6"/>
  <c r="G757" i="6" s="1"/>
  <c r="E754" i="6"/>
  <c r="G754" i="6" s="1"/>
  <c r="E753" i="6"/>
  <c r="G753" i="6" s="1"/>
  <c r="E752" i="6"/>
  <c r="G752" i="6" s="1"/>
  <c r="E782" i="6"/>
  <c r="G782" i="6" s="1"/>
  <c r="E780" i="6"/>
  <c r="E781" i="6"/>
  <c r="G781" i="6" s="1"/>
  <c r="E778" i="6"/>
  <c r="G778" i="6" s="1"/>
  <c r="E777" i="6"/>
  <c r="G777" i="6" s="1"/>
  <c r="E775" i="6"/>
  <c r="G775" i="6" s="1"/>
  <c r="E774" i="6"/>
  <c r="G774" i="6" s="1"/>
  <c r="E772" i="6"/>
  <c r="G772" i="6" s="1"/>
  <c r="E769" i="6"/>
  <c r="E779" i="6" s="1"/>
  <c r="G779" i="6" s="1"/>
  <c r="E771" i="6"/>
  <c r="G771" i="6" s="1"/>
  <c r="E770" i="6"/>
  <c r="G770" i="6" s="1"/>
  <c r="G765" i="6"/>
  <c r="G787" i="6"/>
  <c r="G786" i="6"/>
  <c r="G785" i="6"/>
  <c r="G784" i="6"/>
  <c r="G783" i="6"/>
  <c r="G780" i="6"/>
  <c r="G776" i="6"/>
  <c r="G773" i="6"/>
  <c r="G768" i="6"/>
  <c r="G767" i="6"/>
  <c r="G766" i="6"/>
  <c r="G763" i="6"/>
  <c r="G762" i="6"/>
  <c r="G761" i="6"/>
  <c r="G760" i="6"/>
  <c r="G759" i="6"/>
  <c r="E751" i="6"/>
  <c r="G751" i="6" s="1"/>
  <c r="E750" i="6"/>
  <c r="G750" i="6" s="1"/>
  <c r="G749" i="6"/>
  <c r="E748" i="6"/>
  <c r="G748" i="6" s="1"/>
  <c r="E747" i="6"/>
  <c r="G747" i="6" s="1"/>
  <c r="E746" i="6"/>
  <c r="G746" i="6" s="1"/>
  <c r="E745" i="6"/>
  <c r="G745" i="6" s="1"/>
  <c r="G744" i="6"/>
  <c r="G743" i="6"/>
  <c r="G742" i="6"/>
  <c r="G741" i="6"/>
  <c r="E723" i="6"/>
  <c r="G723" i="6" s="1"/>
  <c r="G722" i="6"/>
  <c r="G712" i="6"/>
  <c r="G713" i="6"/>
  <c r="G714" i="6"/>
  <c r="G715" i="6"/>
  <c r="G716" i="6"/>
  <c r="G717" i="6"/>
  <c r="G718" i="6"/>
  <c r="G719" i="6"/>
  <c r="G720" i="6"/>
  <c r="G721" i="6"/>
  <c r="G710" i="6"/>
  <c r="E702" i="6"/>
  <c r="G702" i="6" s="1"/>
  <c r="G703" i="6"/>
  <c r="G701" i="6"/>
  <c r="G698" i="6"/>
  <c r="G697" i="6"/>
  <c r="G694" i="6"/>
  <c r="G695" i="6"/>
  <c r="G689" i="6"/>
  <c r="G693" i="6"/>
  <c r="G692" i="6"/>
  <c r="G691" i="6"/>
  <c r="G690" i="6"/>
  <c r="G688" i="6"/>
  <c r="G687" i="6"/>
  <c r="G685" i="6"/>
  <c r="G684" i="6"/>
  <c r="E678" i="6"/>
  <c r="G678" i="6" s="1"/>
  <c r="G683" i="6"/>
  <c r="G682" i="6"/>
  <c r="G681" i="6"/>
  <c r="G680" i="6"/>
  <c r="G679" i="6"/>
  <c r="G677" i="6"/>
  <c r="G676" i="6"/>
  <c r="G675" i="6"/>
  <c r="G674" i="6"/>
  <c r="G672" i="6"/>
  <c r="G670" i="6"/>
  <c r="G669" i="6"/>
  <c r="G668" i="6"/>
  <c r="G660" i="6"/>
  <c r="E656" i="6"/>
  <c r="G656" i="6" s="1"/>
  <c r="E651" i="6"/>
  <c r="G651" i="6" s="1"/>
  <c r="E639" i="6"/>
  <c r="G639" i="6" s="1"/>
  <c r="E634" i="6"/>
  <c r="G634" i="6" s="1"/>
  <c r="E629" i="6"/>
  <c r="G629" i="6" s="1"/>
  <c r="E624" i="6"/>
  <c r="E623" i="6"/>
  <c r="G623" i="6" s="1"/>
  <c r="E619" i="6"/>
  <c r="E614" i="6"/>
  <c r="G614" i="6" s="1"/>
  <c r="E613" i="6"/>
  <c r="G613" i="6" s="1"/>
  <c r="E609" i="6"/>
  <c r="G609" i="6" s="1"/>
  <c r="E536" i="6"/>
  <c r="G536" i="6" s="1"/>
  <c r="E534" i="6"/>
  <c r="G534" i="6" s="1"/>
  <c r="E526" i="6"/>
  <c r="G526" i="6" s="1"/>
  <c r="E524" i="6"/>
  <c r="G524" i="6" s="1"/>
  <c r="E522" i="6"/>
  <c r="G522" i="6" s="1"/>
  <c r="E521" i="6"/>
  <c r="G521" i="6" s="1"/>
  <c r="E519" i="6"/>
  <c r="G519" i="6" s="1"/>
  <c r="E517" i="6"/>
  <c r="G517" i="6" s="1"/>
  <c r="E515" i="6"/>
  <c r="G515" i="6" s="1"/>
  <c r="E514" i="6"/>
  <c r="G514" i="6" s="1"/>
  <c r="E507" i="6"/>
  <c r="G507" i="6" s="1"/>
  <c r="E497" i="6"/>
  <c r="G497" i="6" s="1"/>
  <c r="E495" i="6"/>
  <c r="G495" i="6" s="1"/>
  <c r="E498" i="6"/>
  <c r="G498" i="6" s="1"/>
  <c r="E496" i="6"/>
  <c r="G496" i="6" s="1"/>
  <c r="E494" i="6"/>
  <c r="G494" i="6" s="1"/>
  <c r="E493" i="6"/>
  <c r="G493" i="6" s="1"/>
  <c r="E490" i="6"/>
  <c r="G490" i="6" s="1"/>
  <c r="E488" i="6"/>
  <c r="G488" i="6" s="1"/>
  <c r="E483" i="6"/>
  <c r="G483" i="6" s="1"/>
  <c r="E481" i="6"/>
  <c r="G481" i="6" s="1"/>
  <c r="E472" i="6"/>
  <c r="G472" i="6" s="1"/>
  <c r="E458" i="6"/>
  <c r="G458" i="6" s="1"/>
  <c r="G457" i="6"/>
  <c r="G436" i="6"/>
  <c r="E440" i="6"/>
  <c r="G440" i="6" s="1"/>
  <c r="E418" i="6"/>
  <c r="G418" i="6" s="1"/>
  <c r="E417" i="6"/>
  <c r="G417" i="6" s="1"/>
  <c r="E420" i="6"/>
  <c r="G420" i="6" s="1"/>
  <c r="E129" i="6"/>
  <c r="G129" i="6" s="1"/>
  <c r="E343" i="6"/>
  <c r="G343" i="6" s="1"/>
  <c r="H343" i="6" s="1"/>
  <c r="G337" i="6"/>
  <c r="E284" i="6"/>
  <c r="G284" i="6" s="1"/>
  <c r="E278" i="6"/>
  <c r="G278" i="6" s="1"/>
  <c r="E277" i="6"/>
  <c r="G277" i="6" s="1"/>
  <c r="E276" i="6"/>
  <c r="G276" i="6" s="1"/>
  <c r="E275" i="6"/>
  <c r="G275" i="6" s="1"/>
  <c r="E274" i="6"/>
  <c r="G274" i="6" s="1"/>
  <c r="E273" i="6"/>
  <c r="G273" i="6" s="1"/>
  <c r="E325" i="6"/>
  <c r="G325" i="6" s="1"/>
  <c r="E322" i="6"/>
  <c r="G322" i="6" s="1"/>
  <c r="E315" i="6"/>
  <c r="G315" i="6" s="1"/>
  <c r="E314" i="6"/>
  <c r="G314" i="6" s="1"/>
  <c r="E316" i="6"/>
  <c r="E312" i="6"/>
  <c r="B298" i="6"/>
  <c r="E295" i="6"/>
  <c r="G295" i="6" s="1"/>
  <c r="E244" i="6"/>
  <c r="G244" i="6" s="1"/>
  <c r="E241" i="6"/>
  <c r="G241" i="6" s="1"/>
  <c r="E240" i="6"/>
  <c r="G240" i="6" s="1"/>
  <c r="E239" i="6"/>
  <c r="G239" i="6" s="1"/>
  <c r="E238" i="6"/>
  <c r="G238" i="6" s="1"/>
  <c r="E235" i="6"/>
  <c r="G235" i="6" s="1"/>
  <c r="H235" i="6" s="1"/>
  <c r="H233" i="6" s="1"/>
  <c r="E231" i="6"/>
  <c r="G231" i="6" s="1"/>
  <c r="H231" i="6" s="1"/>
  <c r="H229" i="6" s="1"/>
  <c r="E226" i="6"/>
  <c r="G226" i="6" s="1"/>
  <c r="E227" i="6"/>
  <c r="G227" i="6" s="1"/>
  <c r="E225" i="6"/>
  <c r="G225" i="6" s="1"/>
  <c r="E224" i="6"/>
  <c r="G224" i="6" s="1"/>
  <c r="E223" i="6"/>
  <c r="G223" i="6" s="1"/>
  <c r="E217" i="6"/>
  <c r="G217" i="6" s="1"/>
  <c r="E218" i="6"/>
  <c r="G218" i="6" s="1"/>
  <c r="E221" i="6"/>
  <c r="G221" i="6" s="1"/>
  <c r="E220" i="6"/>
  <c r="G220" i="6" s="1"/>
  <c r="E219" i="6"/>
  <c r="G219" i="6" s="1"/>
  <c r="E213" i="6"/>
  <c r="G213" i="6" s="1"/>
  <c r="E203" i="6"/>
  <c r="G203" i="6" s="1"/>
  <c r="E202" i="6"/>
  <c r="G202" i="6" s="1"/>
  <c r="E195" i="6"/>
  <c r="G195" i="6" s="1"/>
  <c r="E176" i="6"/>
  <c r="G176" i="6" s="1"/>
  <c r="E171" i="6"/>
  <c r="G171" i="6" s="1"/>
  <c r="E191" i="6"/>
  <c r="G191" i="6" s="1"/>
  <c r="E190" i="6"/>
  <c r="G190" i="6" s="1"/>
  <c r="E185" i="6"/>
  <c r="G185" i="6" s="1"/>
  <c r="E183" i="6"/>
  <c r="G183" i="6" s="1"/>
  <c r="E182" i="6"/>
  <c r="G182" i="6" s="1"/>
  <c r="E180" i="6"/>
  <c r="G180" i="6" s="1"/>
  <c r="E175" i="6"/>
  <c r="G175" i="6" s="1"/>
  <c r="E174" i="6"/>
  <c r="G174" i="6" s="1"/>
  <c r="E69" i="6"/>
  <c r="G69" i="6" s="1"/>
  <c r="E68" i="6"/>
  <c r="G68" i="6" s="1"/>
  <c r="G59" i="6"/>
  <c r="E12" i="6"/>
  <c r="G12" i="6" s="1"/>
  <c r="E97" i="6"/>
  <c r="G97" i="6" s="1"/>
  <c r="E1028" i="6"/>
  <c r="G1028" i="6" s="1"/>
  <c r="E1063" i="6"/>
  <c r="G1063" i="6" s="1"/>
  <c r="E1033" i="6"/>
  <c r="G1033" i="6" s="1"/>
  <c r="E1032" i="6"/>
  <c r="G1032" i="6" s="1"/>
  <c r="E1031" i="6"/>
  <c r="G1031" i="6" s="1"/>
  <c r="E1668" i="6"/>
  <c r="G1668" i="6" s="1"/>
  <c r="H1667" i="6" s="1"/>
  <c r="H1665" i="6" s="1"/>
  <c r="E647" i="6"/>
  <c r="E646" i="6"/>
  <c r="G646" i="6" s="1"/>
  <c r="E645" i="6"/>
  <c r="G645" i="6" s="1"/>
  <c r="E644" i="6"/>
  <c r="G644" i="6" s="1"/>
  <c r="E643" i="6"/>
  <c r="G643" i="6" s="1"/>
  <c r="G1365" i="6"/>
  <c r="E821" i="6"/>
  <c r="G821" i="6" s="1"/>
  <c r="E824" i="6"/>
  <c r="G824" i="6" s="1"/>
  <c r="E1029" i="6"/>
  <c r="E1034" i="6"/>
  <c r="E1064" i="6"/>
  <c r="E1068" i="6"/>
  <c r="G1068" i="6" s="1"/>
  <c r="E1069" i="6"/>
  <c r="G1071" i="6"/>
  <c r="E1073" i="6"/>
  <c r="G1073" i="6" s="1"/>
  <c r="E1074" i="6"/>
  <c r="E1086" i="6"/>
  <c r="G1086" i="6" s="1"/>
  <c r="E1087" i="6"/>
  <c r="G1087" i="6" s="1"/>
  <c r="E1088" i="6"/>
  <c r="G1088" i="6" s="1"/>
  <c r="E1089" i="6"/>
  <c r="E1093" i="6"/>
  <c r="G1093" i="6" s="1"/>
  <c r="E1094" i="6"/>
  <c r="E1098" i="6"/>
  <c r="G1098" i="6" s="1"/>
  <c r="E1099" i="6"/>
  <c r="E1113" i="6"/>
  <c r="G1113" i="6" s="1"/>
  <c r="E1119" i="6"/>
  <c r="G1119" i="6" s="1"/>
  <c r="E1126" i="6"/>
  <c r="G1126" i="6" s="1"/>
  <c r="E1127" i="6"/>
  <c r="G1127" i="6" s="1"/>
  <c r="E1128" i="6"/>
  <c r="G1128" i="6" s="1"/>
  <c r="E1129" i="6"/>
  <c r="G1145" i="6"/>
  <c r="G1146" i="6"/>
  <c r="G1147" i="6"/>
  <c r="G1148" i="6"/>
  <c r="G1149" i="6"/>
  <c r="G1150" i="6"/>
  <c r="G1151" i="6"/>
  <c r="G1152" i="6"/>
  <c r="G1153" i="6"/>
  <c r="G1154" i="6"/>
  <c r="G1155" i="6"/>
  <c r="G1156" i="6"/>
  <c r="G1157" i="6"/>
  <c r="G1158" i="6"/>
  <c r="E1702" i="6"/>
  <c r="G1702" i="6" s="1"/>
  <c r="E1701" i="6"/>
  <c r="G1701" i="6" s="1"/>
  <c r="G1695" i="6"/>
  <c r="E1167" i="6"/>
  <c r="G1167" i="6" s="1"/>
  <c r="G1170" i="6"/>
  <c r="G1169" i="6"/>
  <c r="G1168" i="6"/>
  <c r="E1218" i="6"/>
  <c r="G1218" i="6" s="1"/>
  <c r="E1223" i="6"/>
  <c r="E1222" i="6"/>
  <c r="G1222" i="6" s="1"/>
  <c r="E1221" i="6"/>
  <c r="G1221" i="6" s="1"/>
  <c r="E1220" i="6"/>
  <c r="G1220" i="6" s="1"/>
  <c r="E1219" i="6"/>
  <c r="G1219" i="6" s="1"/>
  <c r="E1217" i="6"/>
  <c r="G1217" i="6" s="1"/>
  <c r="E1178" i="6"/>
  <c r="G1178" i="6" s="1"/>
  <c r="E443" i="6"/>
  <c r="G443" i="6" s="1"/>
  <c r="E444" i="6"/>
  <c r="G444" i="6" s="1"/>
  <c r="E438" i="6"/>
  <c r="G438" i="6" s="1"/>
  <c r="E432" i="6"/>
  <c r="G432" i="6" s="1"/>
  <c r="E426" i="6"/>
  <c r="G426" i="6" s="1"/>
  <c r="G456" i="6"/>
  <c r="E465" i="6"/>
  <c r="G465" i="6" s="1"/>
  <c r="E460" i="6"/>
  <c r="G460" i="6" s="1"/>
  <c r="E466" i="6"/>
  <c r="G466" i="6" s="1"/>
  <c r="E505" i="6"/>
  <c r="G505" i="6" s="1"/>
  <c r="E504" i="6"/>
  <c r="G504" i="6" s="1"/>
  <c r="E503" i="6"/>
  <c r="G503" i="6" s="1"/>
  <c r="E502" i="6"/>
  <c r="G502" i="6" s="1"/>
  <c r="E501" i="6"/>
  <c r="G501" i="6" s="1"/>
  <c r="E491" i="6"/>
  <c r="G491" i="6" s="1"/>
  <c r="E489" i="6"/>
  <c r="G489" i="6" s="1"/>
  <c r="E487" i="6"/>
  <c r="G487" i="6" s="1"/>
  <c r="E486" i="6"/>
  <c r="G486" i="6" s="1"/>
  <c r="E484" i="6"/>
  <c r="G484" i="6" s="1"/>
  <c r="E482" i="6"/>
  <c r="G482" i="6" s="1"/>
  <c r="E480" i="6"/>
  <c r="G480" i="6" s="1"/>
  <c r="E479" i="6"/>
  <c r="G479" i="6" s="1"/>
  <c r="E531" i="6"/>
  <c r="G531" i="6" s="1"/>
  <c r="E604" i="6"/>
  <c r="G604" i="6" s="1"/>
  <c r="E399" i="6"/>
  <c r="G399" i="6" s="1"/>
  <c r="E351" i="6"/>
  <c r="G351" i="6" s="1"/>
  <c r="E350" i="6"/>
  <c r="G350" i="6" s="1"/>
  <c r="E237" i="6"/>
  <c r="G237" i="6" s="1"/>
  <c r="E179" i="6"/>
  <c r="G179" i="6" s="1"/>
  <c r="E178" i="6"/>
  <c r="G178" i="6" s="1"/>
  <c r="E173" i="6"/>
  <c r="G173" i="6" s="1"/>
  <c r="E170" i="6"/>
  <c r="G170" i="6" s="1"/>
  <c r="E197" i="6"/>
  <c r="G197" i="6" s="1"/>
  <c r="E194" i="6"/>
  <c r="G194" i="6" s="1"/>
  <c r="E162" i="6"/>
  <c r="G162" i="6" s="1"/>
  <c r="E161" i="6"/>
  <c r="G161" i="6" s="1"/>
  <c r="E157" i="6"/>
  <c r="G157" i="6" s="1"/>
  <c r="E156" i="6"/>
  <c r="G156" i="6" s="1"/>
  <c r="E114" i="6"/>
  <c r="G114" i="6" s="1"/>
  <c r="E116" i="6"/>
  <c r="G116" i="6" s="1"/>
  <c r="E15" i="6"/>
  <c r="G15" i="6" s="1"/>
  <c r="E63" i="6"/>
  <c r="G63" i="6" s="1"/>
  <c r="E44" i="6"/>
  <c r="G44" i="6" s="1"/>
  <c r="E43" i="6"/>
  <c r="G43" i="6" s="1"/>
  <c r="G500" i="6"/>
  <c r="E410" i="6"/>
  <c r="G410" i="6" s="1"/>
  <c r="G46" i="6"/>
  <c r="F45" i="6" s="1"/>
  <c r="G134" i="6"/>
  <c r="E1116" i="6"/>
  <c r="G1116" i="6" s="1"/>
  <c r="E1117" i="6"/>
  <c r="G1117" i="6" s="1"/>
  <c r="E1118" i="6"/>
  <c r="G1118" i="6" s="1"/>
  <c r="E1111" i="6"/>
  <c r="G1111" i="6" s="1"/>
  <c r="E1114" i="6"/>
  <c r="E1112" i="6"/>
  <c r="G1112" i="6" s="1"/>
  <c r="E1709" i="6"/>
  <c r="G1709" i="6" s="1"/>
  <c r="E1708" i="6"/>
  <c r="G1708" i="6" s="1"/>
  <c r="E1710" i="6"/>
  <c r="G1710" i="6" s="1"/>
  <c r="E1707" i="6"/>
  <c r="G1707" i="6" s="1"/>
  <c r="E73" i="6"/>
  <c r="G73" i="6" s="1"/>
  <c r="E74" i="6"/>
  <c r="G74" i="6" s="1"/>
  <c r="E333" i="6"/>
  <c r="G333" i="6" s="1"/>
  <c r="E334" i="6"/>
  <c r="G334" i="6" s="1"/>
  <c r="E209" i="6"/>
  <c r="G209" i="6" s="1"/>
  <c r="E321" i="6"/>
  <c r="G321" i="6" s="1"/>
  <c r="E411" i="6"/>
  <c r="G411" i="6" s="1"/>
  <c r="E408" i="6"/>
  <c r="G408" i="6" s="1"/>
  <c r="E409" i="6"/>
  <c r="G409" i="6" s="1"/>
  <c r="E412" i="6"/>
  <c r="G412" i="6" s="1"/>
  <c r="E320" i="6"/>
  <c r="G320" i="6" s="1"/>
  <c r="E318" i="6"/>
  <c r="G318" i="6" s="1"/>
  <c r="E319" i="6"/>
  <c r="G319" i="6" s="1"/>
  <c r="E294" i="6"/>
  <c r="G294" i="6" s="1"/>
  <c r="E397" i="6"/>
  <c r="G397" i="6" s="1"/>
  <c r="E327" i="6"/>
  <c r="G327" i="6" s="1"/>
  <c r="E324" i="6"/>
  <c r="G324" i="6" s="1"/>
  <c r="E311" i="6"/>
  <c r="G311" i="6" s="1"/>
  <c r="E293" i="6"/>
  <c r="G293" i="6" s="1"/>
  <c r="E208" i="6"/>
  <c r="G208" i="6" s="1"/>
  <c r="E245" i="6"/>
  <c r="G245" i="6" s="1"/>
  <c r="E247" i="6"/>
  <c r="G247" i="6" s="1"/>
  <c r="E246" i="6"/>
  <c r="G246" i="6" s="1"/>
  <c r="E243" i="6"/>
  <c r="G243" i="6" s="1"/>
  <c r="E339" i="6"/>
  <c r="G339" i="6" s="1"/>
  <c r="E207" i="6"/>
  <c r="G207" i="6" s="1"/>
  <c r="G662" i="6"/>
  <c r="G661" i="6"/>
  <c r="G664" i="6"/>
  <c r="G663" i="6"/>
  <c r="H1246" i="6" l="1"/>
  <c r="F1140" i="6"/>
  <c r="G1140" i="6" s="1"/>
  <c r="G316" i="6"/>
  <c r="E215" i="6"/>
  <c r="G215" i="6" s="1"/>
  <c r="G1099" i="6"/>
  <c r="G647" i="6"/>
  <c r="E1716" i="6"/>
  <c r="G1716" i="6" s="1"/>
  <c r="H289" i="6"/>
  <c r="H287" i="6" s="1"/>
  <c r="G1109" i="6"/>
  <c r="G35" i="6"/>
  <c r="E1719" i="6"/>
  <c r="G1719" i="6" s="1"/>
  <c r="G1129" i="6"/>
  <c r="G1089" i="6"/>
  <c r="F1085" i="6" s="1"/>
  <c r="H244" i="6"/>
  <c r="E206" i="6"/>
  <c r="G206" i="6" s="1"/>
  <c r="F1570" i="6"/>
  <c r="G1570" i="6" s="1"/>
  <c r="F1619" i="6"/>
  <c r="G1619" i="6" s="1"/>
  <c r="F1648" i="6"/>
  <c r="G1648" i="6" s="1"/>
  <c r="H1658" i="6"/>
  <c r="G798" i="6"/>
  <c r="G29" i="6"/>
  <c r="F26" i="6" s="1"/>
  <c r="G26" i="6" s="1"/>
  <c r="H1245" i="6"/>
  <c r="H1328" i="6"/>
  <c r="H1495" i="6"/>
  <c r="F1610" i="6"/>
  <c r="G1610" i="6" s="1"/>
  <c r="F1661" i="6"/>
  <c r="G1661" i="6" s="1"/>
  <c r="E214" i="6"/>
  <c r="G214" i="6" s="1"/>
  <c r="E210" i="6"/>
  <c r="G210" i="6" s="1"/>
  <c r="G1069" i="6"/>
  <c r="F1065" i="6" s="1"/>
  <c r="G1065" i="6" s="1"/>
  <c r="G1029" i="6"/>
  <c r="F1512" i="6"/>
  <c r="H1653" i="6"/>
  <c r="H1946" i="6"/>
  <c r="E212" i="6"/>
  <c r="G212" i="6" s="1"/>
  <c r="F1550" i="6"/>
  <c r="G1550" i="6" s="1"/>
  <c r="G1569" i="6"/>
  <c r="F1566" i="6" s="1"/>
  <c r="G1566" i="6" s="1"/>
  <c r="F1358" i="6"/>
  <c r="G1358" i="6" s="1"/>
  <c r="F1361" i="6"/>
  <c r="G1361" i="6" s="1"/>
  <c r="H48" i="6"/>
  <c r="F1670" i="6"/>
  <c r="H1690" i="6"/>
  <c r="H1688" i="6" s="1"/>
  <c r="F1628" i="6"/>
  <c r="G1628" i="6" s="1"/>
  <c r="F1674" i="6"/>
  <c r="E1726" i="6"/>
  <c r="G1726" i="6" s="1"/>
  <c r="F1940" i="6"/>
  <c r="F1933" i="6"/>
  <c r="H1937" i="6"/>
  <c r="H1920" i="6"/>
  <c r="G1919" i="6"/>
  <c r="E1921" i="6"/>
  <c r="G1921" i="6" s="1"/>
  <c r="E1922" i="6"/>
  <c r="G1922" i="6" s="1"/>
  <c r="G1924" i="6"/>
  <c r="G1930" i="6"/>
  <c r="E1920" i="6"/>
  <c r="G1920" i="6" s="1"/>
  <c r="E1923" i="6"/>
  <c r="G1923" i="6" s="1"/>
  <c r="E1931" i="6"/>
  <c r="G1931" i="6" s="1"/>
  <c r="H1903" i="6"/>
  <c r="G1902" i="6"/>
  <c r="E1904" i="6"/>
  <c r="G1904" i="6" s="1"/>
  <c r="E1905" i="6"/>
  <c r="G1905" i="6" s="1"/>
  <c r="G1907" i="6"/>
  <c r="G1913" i="6"/>
  <c r="E1903" i="6"/>
  <c r="G1903" i="6" s="1"/>
  <c r="E1906" i="6"/>
  <c r="G1906" i="6" s="1"/>
  <c r="E1914" i="6"/>
  <c r="G1914" i="6" s="1"/>
  <c r="H1886" i="6"/>
  <c r="G1885" i="6"/>
  <c r="E1887" i="6"/>
  <c r="G1887" i="6" s="1"/>
  <c r="E1888" i="6"/>
  <c r="G1888" i="6" s="1"/>
  <c r="G1890" i="6"/>
  <c r="G1896" i="6"/>
  <c r="E1886" i="6"/>
  <c r="G1886" i="6" s="1"/>
  <c r="E1889" i="6"/>
  <c r="G1889" i="6" s="1"/>
  <c r="E1897" i="6"/>
  <c r="G1897" i="6" s="1"/>
  <c r="H1869" i="6"/>
  <c r="G1868" i="6"/>
  <c r="E1870" i="6"/>
  <c r="G1870" i="6" s="1"/>
  <c r="E1871" i="6"/>
  <c r="G1871" i="6" s="1"/>
  <c r="G1873" i="6"/>
  <c r="G1879" i="6"/>
  <c r="E1869" i="6"/>
  <c r="G1869" i="6" s="1"/>
  <c r="E1872" i="6"/>
  <c r="G1872" i="6" s="1"/>
  <c r="E1880" i="6"/>
  <c r="G1880" i="6" s="1"/>
  <c r="H1852" i="6"/>
  <c r="G1851" i="6"/>
  <c r="E1853" i="6"/>
  <c r="G1853" i="6" s="1"/>
  <c r="E1854" i="6"/>
  <c r="G1854" i="6" s="1"/>
  <c r="G1856" i="6"/>
  <c r="G1862" i="6"/>
  <c r="E1852" i="6"/>
  <c r="G1852" i="6" s="1"/>
  <c r="E1855" i="6"/>
  <c r="G1855" i="6" s="1"/>
  <c r="E1863" i="6"/>
  <c r="G1863" i="6" s="1"/>
  <c r="H1835" i="6"/>
  <c r="G1834" i="6"/>
  <c r="E1836" i="6"/>
  <c r="G1836" i="6" s="1"/>
  <c r="E1837" i="6"/>
  <c r="G1837" i="6" s="1"/>
  <c r="G1839" i="6"/>
  <c r="G1845" i="6"/>
  <c r="E1835" i="6"/>
  <c r="G1835" i="6" s="1"/>
  <c r="E1838" i="6"/>
  <c r="G1838" i="6" s="1"/>
  <c r="E1846" i="6"/>
  <c r="G1846" i="6" s="1"/>
  <c r="H1818" i="6"/>
  <c r="G1817" i="6"/>
  <c r="E1819" i="6"/>
  <c r="G1819" i="6" s="1"/>
  <c r="E1820" i="6"/>
  <c r="G1820" i="6" s="1"/>
  <c r="G1822" i="6"/>
  <c r="G1828" i="6"/>
  <c r="E1818" i="6"/>
  <c r="G1818" i="6" s="1"/>
  <c r="E1821" i="6"/>
  <c r="G1821" i="6" s="1"/>
  <c r="E1829" i="6"/>
  <c r="G1829" i="6" s="1"/>
  <c r="H1801" i="6"/>
  <c r="G1800" i="6"/>
  <c r="E1802" i="6"/>
  <c r="G1802" i="6" s="1"/>
  <c r="E1803" i="6"/>
  <c r="G1803" i="6" s="1"/>
  <c r="G1805" i="6"/>
  <c r="G1811" i="6"/>
  <c r="E1801" i="6"/>
  <c r="G1801" i="6" s="1"/>
  <c r="E1804" i="6"/>
  <c r="G1804" i="6" s="1"/>
  <c r="E1812" i="6"/>
  <c r="G1812" i="6" s="1"/>
  <c r="H1784" i="6"/>
  <c r="G1783" i="6"/>
  <c r="E1785" i="6"/>
  <c r="G1785" i="6" s="1"/>
  <c r="E1786" i="6"/>
  <c r="G1786" i="6" s="1"/>
  <c r="G1788" i="6"/>
  <c r="G1794" i="6"/>
  <c r="E1784" i="6"/>
  <c r="G1784" i="6" s="1"/>
  <c r="E1787" i="6"/>
  <c r="G1787" i="6" s="1"/>
  <c r="E1795" i="6"/>
  <c r="G1795" i="6" s="1"/>
  <c r="H1767" i="6"/>
  <c r="G1766" i="6"/>
  <c r="E1768" i="6"/>
  <c r="G1768" i="6" s="1"/>
  <c r="E1769" i="6"/>
  <c r="G1769" i="6" s="1"/>
  <c r="G1771" i="6"/>
  <c r="G1777" i="6"/>
  <c r="E1767" i="6"/>
  <c r="G1767" i="6" s="1"/>
  <c r="E1770" i="6"/>
  <c r="G1770" i="6" s="1"/>
  <c r="E1778" i="6"/>
  <c r="G1778" i="6" s="1"/>
  <c r="H1750" i="6"/>
  <c r="G1749" i="6"/>
  <c r="E1752" i="6"/>
  <c r="G1752" i="6" s="1"/>
  <c r="G1754" i="6"/>
  <c r="G1760" i="6"/>
  <c r="E1750" i="6"/>
  <c r="G1750" i="6" s="1"/>
  <c r="E1753" i="6"/>
  <c r="G1753" i="6" s="1"/>
  <c r="E1761" i="6"/>
  <c r="G1761" i="6" s="1"/>
  <c r="H1733" i="6"/>
  <c r="G1732" i="6"/>
  <c r="E1735" i="6"/>
  <c r="G1735" i="6" s="1"/>
  <c r="G1737" i="6"/>
  <c r="G1743" i="6"/>
  <c r="E1733" i="6"/>
  <c r="G1733" i="6" s="1"/>
  <c r="E1736" i="6"/>
  <c r="G1736" i="6" s="1"/>
  <c r="E1744" i="6"/>
  <c r="G1744" i="6" s="1"/>
  <c r="H1716" i="6"/>
  <c r="G1715" i="6"/>
  <c r="E1718" i="6"/>
  <c r="G1718" i="6" s="1"/>
  <c r="G1720" i="6"/>
  <c r="G1727" i="6"/>
  <c r="F1692" i="6"/>
  <c r="F1652" i="6"/>
  <c r="G1652" i="6" s="1"/>
  <c r="F1625" i="6"/>
  <c r="G1625" i="6" s="1"/>
  <c r="F1622" i="6" s="1"/>
  <c r="G1622" i="6" s="1"/>
  <c r="F1640" i="6"/>
  <c r="G1640" i="6" s="1"/>
  <c r="G1647" i="6"/>
  <c r="F1644" i="6" s="1"/>
  <c r="G1644" i="6" s="1"/>
  <c r="H1655" i="6"/>
  <c r="F1603" i="6"/>
  <c r="G1603" i="6" s="1"/>
  <c r="F1613" i="6"/>
  <c r="G1613" i="6" s="1"/>
  <c r="F1616" i="6"/>
  <c r="G1616" i="6" s="1"/>
  <c r="F1632" i="6"/>
  <c r="G1632" i="6" s="1"/>
  <c r="G1639" i="6"/>
  <c r="F1636" i="6" s="1"/>
  <c r="G1636" i="6" s="1"/>
  <c r="F1657" i="6"/>
  <c r="G1657" i="6" s="1"/>
  <c r="H1660" i="6"/>
  <c r="H1575" i="6"/>
  <c r="F1606" i="6"/>
  <c r="G1606" i="6" s="1"/>
  <c r="G1602" i="6"/>
  <c r="F1600" i="6" s="1"/>
  <c r="G1600" i="6" s="1"/>
  <c r="H1597" i="6"/>
  <c r="F1541" i="6"/>
  <c r="G1541" i="6" s="1"/>
  <c r="H1593" i="6"/>
  <c r="F1532" i="6"/>
  <c r="G1532" i="6" s="1"/>
  <c r="F1547" i="6"/>
  <c r="G1547" i="6" s="1"/>
  <c r="F1544" i="6" s="1"/>
  <c r="G1544" i="6" s="1"/>
  <c r="H1577" i="6"/>
  <c r="H1580" i="6"/>
  <c r="F1596" i="6"/>
  <c r="F1592" i="6"/>
  <c r="H1584" i="6"/>
  <c r="F1583" i="6"/>
  <c r="G1583" i="6" s="1"/>
  <c r="H1582" i="6"/>
  <c r="F1579" i="6"/>
  <c r="G1579" i="6" s="1"/>
  <c r="F1574" i="6"/>
  <c r="G1574" i="6" s="1"/>
  <c r="F1525" i="6"/>
  <c r="G1525" i="6" s="1"/>
  <c r="F1336" i="6"/>
  <c r="G1336" i="6" s="1"/>
  <c r="F1339" i="6"/>
  <c r="G1339" i="6" s="1"/>
  <c r="F1342" i="6"/>
  <c r="G1342" i="6" s="1"/>
  <c r="F1345" i="6"/>
  <c r="G1345" i="6" s="1"/>
  <c r="F1348" i="6"/>
  <c r="G1348" i="6" s="1"/>
  <c r="F1351" i="6"/>
  <c r="G1351" i="6" s="1"/>
  <c r="G1521" i="6"/>
  <c r="H1521" i="6" s="1"/>
  <c r="G1524" i="6"/>
  <c r="F1522" i="6" s="1"/>
  <c r="G1522" i="6" s="1"/>
  <c r="F1528" i="6"/>
  <c r="G1528" i="6" s="1"/>
  <c r="F1535" i="6"/>
  <c r="G1535" i="6" s="1"/>
  <c r="F1538" i="6"/>
  <c r="G1538" i="6" s="1"/>
  <c r="G1561" i="6"/>
  <c r="F1558" i="6" s="1"/>
  <c r="G1558" i="6" s="1"/>
  <c r="F1554" i="6"/>
  <c r="G1554" i="6" s="1"/>
  <c r="F1562" i="6"/>
  <c r="G1562" i="6" s="1"/>
  <c r="H1519" i="6"/>
  <c r="G1498" i="6"/>
  <c r="H1497" i="6" s="1"/>
  <c r="F1499" i="6"/>
  <c r="G1499" i="6" s="1"/>
  <c r="H1499" i="6"/>
  <c r="H1501" i="6"/>
  <c r="F1487" i="6"/>
  <c r="G1487" i="6" s="1"/>
  <c r="F1483" i="6"/>
  <c r="G1483" i="6" s="1"/>
  <c r="F1415" i="6"/>
  <c r="F1468" i="6"/>
  <c r="G1468" i="6" s="1"/>
  <c r="F1465" i="6" s="1"/>
  <c r="G1465" i="6" s="1"/>
  <c r="F1479" i="6"/>
  <c r="G1479" i="6" s="1"/>
  <c r="F1491" i="6"/>
  <c r="F1475" i="6"/>
  <c r="G1475" i="6" s="1"/>
  <c r="F1471" i="6"/>
  <c r="G1471" i="6" s="1"/>
  <c r="G1410" i="6"/>
  <c r="F1407" i="6" s="1"/>
  <c r="G1414" i="6"/>
  <c r="F1411" i="6" s="1"/>
  <c r="F1419" i="6"/>
  <c r="F1462" i="6"/>
  <c r="G1462" i="6" s="1"/>
  <c r="F1459" i="6"/>
  <c r="G1459" i="6" s="1"/>
  <c r="F1456" i="6"/>
  <c r="G1456" i="6" s="1"/>
  <c r="F1449" i="6"/>
  <c r="G1449" i="6" s="1"/>
  <c r="F1446" i="6"/>
  <c r="G1446" i="6" s="1"/>
  <c r="F1453" i="6"/>
  <c r="G1453" i="6" s="1"/>
  <c r="G1445" i="6"/>
  <c r="F1439" i="6"/>
  <c r="G1439" i="6" s="1"/>
  <c r="F1435" i="6"/>
  <c r="G1435" i="6" s="1"/>
  <c r="F1431" i="6"/>
  <c r="F1427" i="6"/>
  <c r="F1423" i="6"/>
  <c r="G1406" i="6"/>
  <c r="F1403" i="6" s="1"/>
  <c r="G1403" i="6" s="1"/>
  <c r="H1411" i="6"/>
  <c r="H1407" i="6"/>
  <c r="H1403" i="6"/>
  <c r="H1399" i="6"/>
  <c r="F1399" i="6"/>
  <c r="H1320" i="6"/>
  <c r="I1319" i="6" s="1"/>
  <c r="H1324" i="6"/>
  <c r="F1354" i="6"/>
  <c r="H1333" i="6"/>
  <c r="I1332" i="6" s="1"/>
  <c r="F1332" i="6"/>
  <c r="G1332" i="6" s="1"/>
  <c r="H1330" i="6"/>
  <c r="F1327" i="6"/>
  <c r="G1327" i="6" s="1"/>
  <c r="F1299" i="6"/>
  <c r="G1299" i="6" s="1"/>
  <c r="F1307" i="6"/>
  <c r="G1307" i="6" s="1"/>
  <c r="F1315" i="6"/>
  <c r="G1315" i="6" s="1"/>
  <c r="F1303" i="6"/>
  <c r="G1303" i="6" s="1"/>
  <c r="F1311" i="6"/>
  <c r="G1311" i="6" s="1"/>
  <c r="F1323" i="6"/>
  <c r="G1323" i="6" s="1"/>
  <c r="F1319" i="6"/>
  <c r="G1319" i="6" s="1"/>
  <c r="F642" i="6"/>
  <c r="G642" i="6" s="1"/>
  <c r="F1665" i="6"/>
  <c r="G1665" i="6" s="1"/>
  <c r="F1292" i="6"/>
  <c r="G1292" i="6" s="1"/>
  <c r="F1295" i="6"/>
  <c r="G1295" i="6" s="1"/>
  <c r="H1281" i="6"/>
  <c r="F1289" i="6"/>
  <c r="G1289" i="6" s="1"/>
  <c r="F1285" i="6"/>
  <c r="H1286" i="6"/>
  <c r="F1280" i="6"/>
  <c r="F1276" i="6"/>
  <c r="H1276" i="6"/>
  <c r="I1253" i="6"/>
  <c r="G1241" i="6"/>
  <c r="H1241" i="6" s="1"/>
  <c r="F1258" i="6"/>
  <c r="G1258" i="6" s="1"/>
  <c r="H1259" i="6"/>
  <c r="I1269" i="6"/>
  <c r="H1269" i="6" s="1"/>
  <c r="I1266" i="6"/>
  <c r="H1272" i="6"/>
  <c r="F1271" i="6"/>
  <c r="G1271" i="6" s="1"/>
  <c r="G1267" i="6"/>
  <c r="H1267" i="6" s="1"/>
  <c r="G1268" i="6"/>
  <c r="H1268" i="6" s="1"/>
  <c r="G1270" i="6"/>
  <c r="H1270" i="6" s="1"/>
  <c r="G1255" i="6"/>
  <c r="H1255" i="6" s="1"/>
  <c r="G1256" i="6"/>
  <c r="H1256" i="6" s="1"/>
  <c r="F1247" i="6"/>
  <c r="G1247" i="6" s="1"/>
  <c r="H1248" i="6"/>
  <c r="H937" i="6"/>
  <c r="E1239" i="6"/>
  <c r="I1239" i="6" s="1"/>
  <c r="F492" i="6"/>
  <c r="G492" i="6" s="1"/>
  <c r="G1059" i="6"/>
  <c r="G297" i="6"/>
  <c r="H1232" i="6"/>
  <c r="G1235" i="6"/>
  <c r="F1230" i="6" s="1"/>
  <c r="F1224" i="6"/>
  <c r="G1224" i="6" s="1"/>
  <c r="H1226" i="6"/>
  <c r="H1055" i="6"/>
  <c r="F1159" i="6"/>
  <c r="F1210" i="6"/>
  <c r="G1210" i="6" s="1"/>
  <c r="F1166" i="6"/>
  <c r="H1169" i="6" s="1"/>
  <c r="I1166" i="6" s="1"/>
  <c r="G1049" i="6"/>
  <c r="G1054" i="6"/>
  <c r="F1050" i="6" s="1"/>
  <c r="G1159" i="6"/>
  <c r="F1135" i="6"/>
  <c r="G1135" i="6" s="1"/>
  <c r="H1138" i="6"/>
  <c r="H1136" i="6" s="1"/>
  <c r="F1055" i="6"/>
  <c r="H1050" i="6"/>
  <c r="G1039" i="6"/>
  <c r="F1035" i="6" s="1"/>
  <c r="H1045" i="6"/>
  <c r="F1045" i="6"/>
  <c r="H713" i="6"/>
  <c r="H294" i="6"/>
  <c r="H1695" i="6"/>
  <c r="H1693" i="6" s="1"/>
  <c r="H999" i="6"/>
  <c r="F998" i="6"/>
  <c r="G998" i="6" s="1"/>
  <c r="G1018" i="6"/>
  <c r="F1018" i="6"/>
  <c r="H1035" i="6"/>
  <c r="H1020" i="6"/>
  <c r="H1371" i="6"/>
  <c r="H1369" i="6" s="1"/>
  <c r="H1376" i="6"/>
  <c r="H1374" i="6" s="1"/>
  <c r="H1381" i="6"/>
  <c r="H1379" i="6" s="1"/>
  <c r="H1015" i="6"/>
  <c r="F1013" i="6"/>
  <c r="H995" i="6"/>
  <c r="H993" i="6"/>
  <c r="F992" i="6"/>
  <c r="G992" i="6" s="1"/>
  <c r="H1386" i="6"/>
  <c r="H1384" i="6" s="1"/>
  <c r="H1391" i="6"/>
  <c r="H1389" i="6" s="1"/>
  <c r="H963" i="6"/>
  <c r="I960" i="6" s="1"/>
  <c r="H814" i="6"/>
  <c r="F966" i="6"/>
  <c r="G966" i="6" s="1"/>
  <c r="F960" i="6"/>
  <c r="F882" i="6"/>
  <c r="G882" i="6" s="1"/>
  <c r="H1396" i="6"/>
  <c r="H1394" i="6" s="1"/>
  <c r="G1512" i="6"/>
  <c r="H708" i="6"/>
  <c r="H706" i="6" s="1"/>
  <c r="F705" i="6"/>
  <c r="G705" i="6" s="1"/>
  <c r="F812" i="6"/>
  <c r="H816" i="6" s="1"/>
  <c r="I813" i="6" s="1"/>
  <c r="F686" i="6"/>
  <c r="G686" i="6" s="1"/>
  <c r="H1030" i="6"/>
  <c r="H494" i="6"/>
  <c r="F653" i="6"/>
  <c r="G653" i="6" s="1"/>
  <c r="F665" i="6"/>
  <c r="G665" i="6" s="1"/>
  <c r="H675" i="6"/>
  <c r="H697" i="6"/>
  <c r="G1114" i="6"/>
  <c r="F1110" i="6" s="1"/>
  <c r="G1110" i="6" s="1"/>
  <c r="G312" i="6"/>
  <c r="G605" i="6"/>
  <c r="F1174" i="6"/>
  <c r="G1174" i="6" s="1"/>
  <c r="F597" i="6"/>
  <c r="G597" i="6" s="1"/>
  <c r="F593" i="6"/>
  <c r="G593" i="6" s="1"/>
  <c r="F589" i="6"/>
  <c r="G589" i="6" s="1"/>
  <c r="F585" i="6"/>
  <c r="G585" i="6" s="1"/>
  <c r="F567" i="6"/>
  <c r="G567" i="6" s="1"/>
  <c r="H501" i="6"/>
  <c r="F579" i="6"/>
  <c r="G579" i="6" s="1"/>
  <c r="H583" i="6"/>
  <c r="H581" i="6" s="1"/>
  <c r="F573" i="6"/>
  <c r="G573" i="6" s="1"/>
  <c r="H577" i="6"/>
  <c r="H575" i="6" s="1"/>
  <c r="H571" i="6"/>
  <c r="H569" i="6" s="1"/>
  <c r="F561" i="6"/>
  <c r="G561" i="6" s="1"/>
  <c r="H565" i="6"/>
  <c r="H563" i="6" s="1"/>
  <c r="F555" i="6"/>
  <c r="G555" i="6" s="1"/>
  <c r="H559" i="6"/>
  <c r="H557" i="6" s="1"/>
  <c r="F421" i="6"/>
  <c r="F98" i="6"/>
  <c r="G98" i="6" s="1"/>
  <c r="F549" i="6"/>
  <c r="G549" i="6" s="1"/>
  <c r="H553" i="6"/>
  <c r="H551" i="6" s="1"/>
  <c r="F543" i="6"/>
  <c r="G543" i="6" s="1"/>
  <c r="H547" i="6"/>
  <c r="H545" i="6" s="1"/>
  <c r="F537" i="6"/>
  <c r="G537" i="6" s="1"/>
  <c r="H541" i="6"/>
  <c r="H539" i="6" s="1"/>
  <c r="F532" i="6"/>
  <c r="G532" i="6" s="1"/>
  <c r="F527" i="6"/>
  <c r="H477" i="6"/>
  <c r="H475" i="6" s="1"/>
  <c r="F520" i="6"/>
  <c r="G520" i="6" s="1"/>
  <c r="H431" i="6"/>
  <c r="H429" i="6" s="1"/>
  <c r="H419" i="6"/>
  <c r="H417" i="6" s="1"/>
  <c r="F415" i="6"/>
  <c r="F427" i="6"/>
  <c r="G427" i="6" s="1"/>
  <c r="H401" i="6"/>
  <c r="F354" i="6"/>
  <c r="F279" i="6"/>
  <c r="H380" i="6"/>
  <c r="H378" i="6" s="1"/>
  <c r="F377" i="6"/>
  <c r="F389" i="6"/>
  <c r="G389" i="6" s="1"/>
  <c r="F383" i="6"/>
  <c r="F345" i="6"/>
  <c r="F336" i="6"/>
  <c r="F1687" i="6"/>
  <c r="G1687" i="6" s="1"/>
  <c r="H122" i="6"/>
  <c r="H120" i="6" s="1"/>
  <c r="F506" i="6"/>
  <c r="G506" i="6" s="1"/>
  <c r="F513" i="6"/>
  <c r="G513" i="6" s="1"/>
  <c r="H1145" i="6"/>
  <c r="F1144" i="6"/>
  <c r="G1144" i="6" s="1"/>
  <c r="F433" i="6"/>
  <c r="G433" i="6" s="1"/>
  <c r="F696" i="6"/>
  <c r="G696" i="6" s="1"/>
  <c r="F1697" i="6"/>
  <c r="G1697" i="6" s="1"/>
  <c r="H250" i="6"/>
  <c r="H262" i="6"/>
  <c r="H339" i="6"/>
  <c r="H337" i="6" s="1"/>
  <c r="G624" i="6"/>
  <c r="H625" i="6" s="1"/>
  <c r="H623" i="6" s="1"/>
  <c r="E328" i="6"/>
  <c r="G328" i="6" s="1"/>
  <c r="E310" i="6"/>
  <c r="G310" i="6" s="1"/>
  <c r="H310" i="6" s="1"/>
  <c r="G619" i="6"/>
  <c r="H620" i="6" s="1"/>
  <c r="H618" i="6" s="1"/>
  <c r="G793" i="6"/>
  <c r="F373" i="6"/>
  <c r="F236" i="6"/>
  <c r="G1223" i="6"/>
  <c r="F1216" i="6" s="1"/>
  <c r="G1094" i="6"/>
  <c r="F1090" i="6" s="1"/>
  <c r="G1074" i="6"/>
  <c r="F1070" i="6" s="1"/>
  <c r="G1070" i="6" s="1"/>
  <c r="G1064" i="6"/>
  <c r="F1060" i="6" s="1"/>
  <c r="G1034" i="6"/>
  <c r="F1030" i="6" s="1"/>
  <c r="G1030" i="6" s="1"/>
  <c r="G296" i="6"/>
  <c r="F193" i="6"/>
  <c r="G193" i="6" s="1"/>
  <c r="F254" i="6"/>
  <c r="G254" i="6" s="1"/>
  <c r="F266" i="6"/>
  <c r="G266" i="6" s="1"/>
  <c r="F103" i="6"/>
  <c r="G103" i="6" s="1"/>
  <c r="F248" i="6"/>
  <c r="H256" i="6"/>
  <c r="F260" i="6"/>
  <c r="H268" i="6"/>
  <c r="F181" i="6"/>
  <c r="G181" i="6" s="1"/>
  <c r="F149" i="6"/>
  <c r="H152" i="6"/>
  <c r="H150" i="6" s="1"/>
  <c r="H167" i="6"/>
  <c r="H165" i="6" s="1"/>
  <c r="H141" i="6"/>
  <c r="H139" i="6" s="1"/>
  <c r="F135" i="6"/>
  <c r="G135" i="6" s="1"/>
  <c r="F163" i="6"/>
  <c r="G163" i="6" s="1"/>
  <c r="F142" i="6"/>
  <c r="H112" i="6"/>
  <c r="H110" i="6" s="1"/>
  <c r="F108" i="6"/>
  <c r="H482" i="6"/>
  <c r="H425" i="6"/>
  <c r="H423" i="6" s="1"/>
  <c r="H80" i="6"/>
  <c r="H78" i="6" s="1"/>
  <c r="H102" i="6"/>
  <c r="H100" i="6" s="1"/>
  <c r="H107" i="6"/>
  <c r="H105" i="6" s="1"/>
  <c r="F90" i="6"/>
  <c r="G90" i="6" s="1"/>
  <c r="H94" i="6"/>
  <c r="H92" i="6" s="1"/>
  <c r="H89" i="6"/>
  <c r="H87" i="6" s="1"/>
  <c r="F85" i="6"/>
  <c r="G85" i="6" s="1"/>
  <c r="F76" i="6"/>
  <c r="G76" i="6" s="1"/>
  <c r="H62" i="6"/>
  <c r="H60" i="6" s="1"/>
  <c r="G769" i="6"/>
  <c r="F764" i="6" s="1"/>
  <c r="F58" i="6"/>
  <c r="F70" i="6"/>
  <c r="F65" i="6"/>
  <c r="F40" i="6"/>
  <c r="G40" i="6" s="1"/>
  <c r="F1678" i="6"/>
  <c r="G1678" i="6" s="1"/>
  <c r="H37" i="6"/>
  <c r="H35" i="6" s="1"/>
  <c r="H46" i="6"/>
  <c r="H24" i="6"/>
  <c r="H22" i="6" s="1"/>
  <c r="F18" i="6"/>
  <c r="G18" i="6" s="1"/>
  <c r="G16" i="6"/>
  <c r="H15" i="6" s="1"/>
  <c r="H13" i="6" s="1"/>
  <c r="G1134" i="6"/>
  <c r="F1130" i="6" s="1"/>
  <c r="G1044" i="6"/>
  <c r="F1040" i="6" s="1"/>
  <c r="H305" i="6"/>
  <c r="G308" i="6"/>
  <c r="F304" i="6" s="1"/>
  <c r="H1130" i="6"/>
  <c r="H1120" i="6"/>
  <c r="G1124" i="6"/>
  <c r="F1120" i="6" s="1"/>
  <c r="H1100" i="6"/>
  <c r="H1105" i="6"/>
  <c r="G1104" i="6"/>
  <c r="F1100" i="6" s="1"/>
  <c r="F1105" i="6"/>
  <c r="G1079" i="6"/>
  <c r="F1075" i="6" s="1"/>
  <c r="H1706" i="6"/>
  <c r="H1704" i="6" s="1"/>
  <c r="G1084" i="6"/>
  <c r="F1080" i="6" s="1"/>
  <c r="H1080" i="6"/>
  <c r="H1075" i="6"/>
  <c r="H1040" i="6"/>
  <c r="H283" i="6"/>
  <c r="H281" i="6" s="1"/>
  <c r="H358" i="6"/>
  <c r="H356" i="6" s="1"/>
  <c r="H386" i="6"/>
  <c r="H384" i="6" s="1"/>
  <c r="H480" i="6"/>
  <c r="H1699" i="6"/>
  <c r="H1697" i="6" s="1"/>
  <c r="H1025" i="6"/>
  <c r="H943" i="6"/>
  <c r="H412" i="6"/>
  <c r="H410" i="6" s="1"/>
  <c r="H334" i="6"/>
  <c r="H332" i="6" s="1"/>
  <c r="F700" i="6"/>
  <c r="G700" i="6" s="1"/>
  <c r="H843" i="6"/>
  <c r="H841" i="6" s="1"/>
  <c r="H951" i="6"/>
  <c r="H949" i="6" s="1"/>
  <c r="F1508" i="6"/>
  <c r="G1508" i="6" s="1"/>
  <c r="H1167" i="6"/>
  <c r="H1366" i="6"/>
  <c r="H1364" i="6" s="1"/>
  <c r="H849" i="6"/>
  <c r="H847" i="6" s="1"/>
  <c r="H933" i="6"/>
  <c r="H981" i="6"/>
  <c r="H979" i="6" s="1"/>
  <c r="H1573" i="6"/>
  <c r="H1571" i="6" s="1"/>
  <c r="F1587" i="6"/>
  <c r="G1587" i="6" s="1"/>
  <c r="H931" i="6"/>
  <c r="H1417" i="6"/>
  <c r="H1415" i="6" s="1"/>
  <c r="H199" i="6"/>
  <c r="I195" i="6" s="1"/>
  <c r="H175" i="6"/>
  <c r="I171" i="6" s="1"/>
  <c r="H129" i="6"/>
  <c r="H610" i="6"/>
  <c r="H608" i="6" s="1"/>
  <c r="H615" i="6"/>
  <c r="H613" i="6" s="1"/>
  <c r="H742" i="6"/>
  <c r="H449" i="6"/>
  <c r="H447" i="6" s="1"/>
  <c r="H454" i="6"/>
  <c r="H452" i="6" s="1"/>
  <c r="H828" i="6"/>
  <c r="H826" i="6" s="1"/>
  <c r="H969" i="6"/>
  <c r="I966" i="6" s="1"/>
  <c r="H1515" i="6"/>
  <c r="H1513" i="6" s="1"/>
  <c r="F1504" i="6"/>
  <c r="G1504" i="6" s="1"/>
  <c r="H1493" i="6"/>
  <c r="H1491" i="6" s="1"/>
  <c r="F1394" i="6"/>
  <c r="G1394" i="6" s="1"/>
  <c r="F1389" i="6"/>
  <c r="G1389" i="6" s="1"/>
  <c r="F1384" i="6"/>
  <c r="G1384" i="6" s="1"/>
  <c r="F1379" i="6"/>
  <c r="G1379" i="6" s="1"/>
  <c r="F1374" i="6"/>
  <c r="G1374" i="6" s="1"/>
  <c r="F1369" i="6"/>
  <c r="G1369" i="6" s="1"/>
  <c r="H1213" i="6"/>
  <c r="H1211" i="6" s="1"/>
  <c r="F1204" i="6"/>
  <c r="G1204" i="6" s="1"/>
  <c r="H1207" i="6"/>
  <c r="H1205" i="6" s="1"/>
  <c r="F1198" i="6"/>
  <c r="G1198" i="6" s="1"/>
  <c r="H1201" i="6"/>
  <c r="H1199" i="6" s="1"/>
  <c r="F1192" i="6"/>
  <c r="G1192" i="6" s="1"/>
  <c r="H1195" i="6"/>
  <c r="H1193" i="6" s="1"/>
  <c r="F1186" i="6"/>
  <c r="G1186" i="6" s="1"/>
  <c r="H1189" i="6"/>
  <c r="H1187" i="6" s="1"/>
  <c r="H1177" i="6"/>
  <c r="H1175" i="6" s="1"/>
  <c r="F1180" i="6"/>
  <c r="G1180" i="6" s="1"/>
  <c r="H1183" i="6"/>
  <c r="H1181" i="6" s="1"/>
  <c r="F985" i="6"/>
  <c r="G985" i="6" s="1"/>
  <c r="H988" i="6"/>
  <c r="H986" i="6" s="1"/>
  <c r="F978" i="6"/>
  <c r="G978" i="6" s="1"/>
  <c r="H975" i="6"/>
  <c r="F972" i="6"/>
  <c r="G972" i="6" s="1"/>
  <c r="G960" i="6"/>
  <c r="H957" i="6"/>
  <c r="H955" i="6" s="1"/>
  <c r="F954" i="6"/>
  <c r="G954" i="6" s="1"/>
  <c r="F948" i="6"/>
  <c r="G948" i="6" s="1"/>
  <c r="H945" i="6"/>
  <c r="F942" i="6"/>
  <c r="G942" i="6" s="1"/>
  <c r="H939" i="6"/>
  <c r="I936" i="6" s="1"/>
  <c r="F936" i="6"/>
  <c r="G936" i="6" s="1"/>
  <c r="F930" i="6"/>
  <c r="G930" i="6" s="1"/>
  <c r="F924" i="6"/>
  <c r="G924" i="6" s="1"/>
  <c r="H927" i="6"/>
  <c r="H925" i="6" s="1"/>
  <c r="F918" i="6"/>
  <c r="G918" i="6" s="1"/>
  <c r="H921" i="6"/>
  <c r="H919" i="6" s="1"/>
  <c r="F912" i="6"/>
  <c r="G912" i="6" s="1"/>
  <c r="H915" i="6"/>
  <c r="H913" i="6" s="1"/>
  <c r="F906" i="6"/>
  <c r="G906" i="6" s="1"/>
  <c r="H909" i="6"/>
  <c r="H907" i="6" s="1"/>
  <c r="F900" i="6"/>
  <c r="G900" i="6" s="1"/>
  <c r="H903" i="6"/>
  <c r="H901" i="6" s="1"/>
  <c r="F894" i="6"/>
  <c r="G894" i="6" s="1"/>
  <c r="H897" i="6"/>
  <c r="H895" i="6" s="1"/>
  <c r="F888" i="6"/>
  <c r="G888" i="6" s="1"/>
  <c r="H891" i="6"/>
  <c r="H889" i="6" s="1"/>
  <c r="H885" i="6"/>
  <c r="H883" i="6" s="1"/>
  <c r="F876" i="6"/>
  <c r="G876" i="6" s="1"/>
  <c r="H879" i="6"/>
  <c r="H877" i="6" s="1"/>
  <c r="F870" i="6"/>
  <c r="G870" i="6" s="1"/>
  <c r="H873" i="6"/>
  <c r="H871" i="6" s="1"/>
  <c r="F864" i="6"/>
  <c r="G864" i="6" s="1"/>
  <c r="H867" i="6"/>
  <c r="H865" i="6" s="1"/>
  <c r="F858" i="6"/>
  <c r="G858" i="6" s="1"/>
  <c r="H861" i="6"/>
  <c r="H859" i="6" s="1"/>
  <c r="F852" i="6"/>
  <c r="G852" i="6" s="1"/>
  <c r="H855" i="6"/>
  <c r="H853" i="6" s="1"/>
  <c r="F846" i="6"/>
  <c r="G846" i="6" s="1"/>
  <c r="F840" i="6"/>
  <c r="G840" i="6" s="1"/>
  <c r="F835" i="6"/>
  <c r="G835" i="6" s="1"/>
  <c r="H838" i="6"/>
  <c r="H836" i="6" s="1"/>
  <c r="F830" i="6"/>
  <c r="G830" i="6" s="1"/>
  <c r="H833" i="6"/>
  <c r="H831" i="6" s="1"/>
  <c r="H605" i="6"/>
  <c r="H603" i="6" s="1"/>
  <c r="H459" i="6"/>
  <c r="H457" i="6" s="1"/>
  <c r="H443" i="6"/>
  <c r="H441" i="6" s="1"/>
  <c r="H517" i="6"/>
  <c r="H515" i="6" s="1"/>
  <c r="H524" i="6"/>
  <c r="H522" i="6" s="1"/>
  <c r="H790" i="6"/>
  <c r="E730" i="6"/>
  <c r="G730" i="6" s="1"/>
  <c r="H187" i="6"/>
  <c r="H185" i="6" s="1"/>
  <c r="H652" i="6"/>
  <c r="H650" i="6" s="1"/>
  <c r="H657" i="6"/>
  <c r="H655" i="6" s="1"/>
  <c r="E736" i="6"/>
  <c r="G736" i="6" s="1"/>
  <c r="H465" i="6"/>
  <c r="H463" i="6" s="1"/>
  <c r="H392" i="6"/>
  <c r="H390" i="6" s="1"/>
  <c r="E726" i="6"/>
  <c r="G726" i="6" s="1"/>
  <c r="E728" i="6"/>
  <c r="G728" i="6" s="1"/>
  <c r="E733" i="6"/>
  <c r="G733" i="6" s="1"/>
  <c r="H823" i="6"/>
  <c r="H821" i="6" s="1"/>
  <c r="H531" i="6"/>
  <c r="H529" i="6" s="1"/>
  <c r="H669" i="6"/>
  <c r="H667" i="6" s="1"/>
  <c r="H148" i="6"/>
  <c r="F825" i="6"/>
  <c r="G825" i="6" s="1"/>
  <c r="F673" i="6"/>
  <c r="G673" i="6" s="1"/>
  <c r="H662" i="6"/>
  <c r="H660" i="6" s="1"/>
  <c r="H645" i="6"/>
  <c r="H643" i="6" s="1"/>
  <c r="H640" i="6"/>
  <c r="H638" i="6" s="1"/>
  <c r="H635" i="6"/>
  <c r="H633" i="6" s="1"/>
  <c r="H630" i="6"/>
  <c r="H628" i="6" s="1"/>
  <c r="H536" i="6"/>
  <c r="H534" i="6" s="1"/>
  <c r="H510" i="6"/>
  <c r="H508" i="6" s="1"/>
  <c r="F450" i="6"/>
  <c r="G450" i="6" s="1"/>
  <c r="F445" i="6"/>
  <c r="G445" i="6" s="1"/>
  <c r="H471" i="6"/>
  <c r="H469" i="6" s="1"/>
  <c r="H437" i="6"/>
  <c r="H435" i="6" s="1"/>
  <c r="F402" i="6"/>
  <c r="H403" i="6"/>
  <c r="F364" i="6"/>
  <c r="F169" i="6"/>
  <c r="G169" i="6" s="1"/>
  <c r="F648" i="6"/>
  <c r="G648" i="6" s="1"/>
  <c r="H701" i="6"/>
  <c r="E803" i="6"/>
  <c r="G803" i="6" s="1"/>
  <c r="F1704" i="6"/>
  <c r="G1704" i="6" s="1"/>
  <c r="F49" i="6"/>
  <c r="G49" i="6" s="1"/>
  <c r="G383" i="6"/>
  <c r="G56" i="6"/>
  <c r="G396" i="6"/>
  <c r="H399" i="6" s="1"/>
  <c r="E398" i="6"/>
  <c r="G398" i="6" s="1"/>
  <c r="H397" i="6" s="1"/>
  <c r="H1095" i="6"/>
  <c r="H238" i="6"/>
  <c r="H274" i="6"/>
  <c r="F128" i="6"/>
  <c r="G415" i="6"/>
  <c r="H1070" i="6"/>
  <c r="G155" i="6"/>
  <c r="F636" i="6"/>
  <c r="H1090" i="6"/>
  <c r="H1085" i="6"/>
  <c r="H1065" i="6"/>
  <c r="F606" i="6"/>
  <c r="G606" i="6" s="1"/>
  <c r="H1060" i="6"/>
  <c r="F626" i="6"/>
  <c r="F631" i="6"/>
  <c r="F820" i="6"/>
  <c r="F611" i="6"/>
  <c r="F601" i="6"/>
  <c r="G601" i="6" s="1"/>
  <c r="E326" i="6"/>
  <c r="G326" i="6" s="1"/>
  <c r="H487" i="6"/>
  <c r="G159" i="6"/>
  <c r="H158" i="6" s="1"/>
  <c r="H156" i="6" s="1"/>
  <c r="F118" i="6"/>
  <c r="G118" i="6" s="1"/>
  <c r="H314" i="6"/>
  <c r="F313" i="6"/>
  <c r="G527" i="6"/>
  <c r="F1025" i="6"/>
  <c r="F330" i="6"/>
  <c r="G330" i="6" s="1"/>
  <c r="F272" i="6"/>
  <c r="H324" i="6"/>
  <c r="F407" i="6"/>
  <c r="F1683" i="6"/>
  <c r="G1683" i="6" s="1"/>
  <c r="H74" i="6"/>
  <c r="H72" i="6" s="1"/>
  <c r="F478" i="6"/>
  <c r="F485" i="6"/>
  <c r="F473" i="6"/>
  <c r="H44" i="6"/>
  <c r="H42" i="6" s="1"/>
  <c r="F216" i="6"/>
  <c r="G216" i="6" s="1"/>
  <c r="F341" i="6"/>
  <c r="F228" i="6"/>
  <c r="G354" i="6"/>
  <c r="F455" i="6"/>
  <c r="F467" i="6"/>
  <c r="H223" i="6"/>
  <c r="F222" i="6"/>
  <c r="G222" i="6" s="1"/>
  <c r="F232" i="6"/>
  <c r="F285" i="6"/>
  <c r="F1950" i="6"/>
  <c r="G1950" i="6" s="1"/>
  <c r="F658" i="6"/>
  <c r="G658" i="6" s="1"/>
  <c r="F242" i="6"/>
  <c r="H53" i="6"/>
  <c r="H51" i="6" s="1"/>
  <c r="H688" i="6"/>
  <c r="F711" i="6"/>
  <c r="F368" i="6"/>
  <c r="F499" i="6"/>
  <c r="G499" i="6" s="1"/>
  <c r="F439" i="6"/>
  <c r="H766" i="6"/>
  <c r="H69" i="6"/>
  <c r="H67" i="6" s="1"/>
  <c r="F33" i="6"/>
  <c r="H318" i="6"/>
  <c r="F317" i="6"/>
  <c r="G45" i="6"/>
  <c r="G47" i="6"/>
  <c r="F1125" i="6"/>
  <c r="H1125" i="6"/>
  <c r="H1217" i="6"/>
  <c r="F1095" i="6"/>
  <c r="H1115" i="6"/>
  <c r="F1115" i="6"/>
  <c r="F360" i="6"/>
  <c r="F349" i="6"/>
  <c r="H1110" i="6"/>
  <c r="F461" i="6"/>
  <c r="F1364" i="6"/>
  <c r="G1364" i="6" s="1"/>
  <c r="H217" i="6"/>
  <c r="E755" i="6"/>
  <c r="G755" i="6" s="1"/>
  <c r="F740" i="6" s="1"/>
  <c r="E806" i="6"/>
  <c r="G806" i="6" s="1"/>
  <c r="G805" i="6"/>
  <c r="H258" i="6" l="1"/>
  <c r="H496" i="6"/>
  <c r="G373" i="6"/>
  <c r="H1107" i="6"/>
  <c r="I1327" i="6"/>
  <c r="H209" i="6"/>
  <c r="H211" i="6" s="1"/>
  <c r="I207" i="6" s="1"/>
  <c r="H1261" i="6"/>
  <c r="I1258" i="6" s="1"/>
  <c r="F1518" i="6"/>
  <c r="G1518" i="6" s="1"/>
  <c r="H132" i="6"/>
  <c r="F1495" i="6"/>
  <c r="G1495" i="6" s="1"/>
  <c r="F323" i="6"/>
  <c r="G323" i="6" s="1"/>
  <c r="H1948" i="6"/>
  <c r="F154" i="6"/>
  <c r="G154" i="6" s="1"/>
  <c r="F292" i="6"/>
  <c r="H297" i="6" s="1"/>
  <c r="H1413" i="6"/>
  <c r="G1411" i="6"/>
  <c r="F616" i="6"/>
  <c r="G616" i="6" s="1"/>
  <c r="H30" i="6"/>
  <c r="H1027" i="6"/>
  <c r="F309" i="6"/>
  <c r="H312" i="6" s="1"/>
  <c r="G236" i="6"/>
  <c r="F205" i="6"/>
  <c r="G205" i="6" s="1"/>
  <c r="H240" i="6"/>
  <c r="H264" i="6"/>
  <c r="H1164" i="6"/>
  <c r="I1160" i="6" s="1"/>
  <c r="H1283" i="6"/>
  <c r="I1495" i="6"/>
  <c r="G1940" i="6"/>
  <c r="H1939" i="6"/>
  <c r="G1933" i="6"/>
  <c r="F1916" i="6"/>
  <c r="H1922" i="6" s="1"/>
  <c r="F1899" i="6"/>
  <c r="H1905" i="6" s="1"/>
  <c r="F1882" i="6"/>
  <c r="H1888" i="6" s="1"/>
  <c r="F1865" i="6"/>
  <c r="H1871" i="6" s="1"/>
  <c r="F1848" i="6"/>
  <c r="H1854" i="6" s="1"/>
  <c r="F1831" i="6"/>
  <c r="H1837" i="6" s="1"/>
  <c r="F1814" i="6"/>
  <c r="H1820" i="6" s="1"/>
  <c r="F1797" i="6"/>
  <c r="H1803" i="6" s="1"/>
  <c r="F1780" i="6"/>
  <c r="H1786" i="6" s="1"/>
  <c r="F1763" i="6"/>
  <c r="H1769" i="6" s="1"/>
  <c r="F1746" i="6"/>
  <c r="H1752" i="6" s="1"/>
  <c r="F1729" i="6"/>
  <c r="H1735" i="6" s="1"/>
  <c r="F1712" i="6"/>
  <c r="G1592" i="6"/>
  <c r="G1596" i="6"/>
  <c r="H1586" i="6"/>
  <c r="H1405" i="6"/>
  <c r="H699" i="6"/>
  <c r="I696" i="6" s="1"/>
  <c r="H1072" i="6"/>
  <c r="I1070" i="6" s="1"/>
  <c r="F1443" i="6"/>
  <c r="G1443" i="6" s="1"/>
  <c r="G1280" i="6"/>
  <c r="I1265" i="6"/>
  <c r="H1401" i="6"/>
  <c r="G1399" i="6"/>
  <c r="H1409" i="6"/>
  <c r="G1407" i="6"/>
  <c r="H1253" i="6"/>
  <c r="H1288" i="6"/>
  <c r="G1285" i="6"/>
  <c r="H1278" i="6"/>
  <c r="G1276" i="6"/>
  <c r="H1266" i="6"/>
  <c r="H1265" i="6" s="1"/>
  <c r="H1023" i="6"/>
  <c r="I1019" i="6" s="1"/>
  <c r="H1001" i="6"/>
  <c r="I998" i="6" s="1"/>
  <c r="F1265" i="6"/>
  <c r="G1265" i="6" s="1"/>
  <c r="H1274" i="6"/>
  <c r="I1272" i="6" s="1"/>
  <c r="F1253" i="6"/>
  <c r="G1253" i="6" s="1"/>
  <c r="H1250" i="6"/>
  <c r="I1247" i="6" s="1"/>
  <c r="G1239" i="6"/>
  <c r="G1230" i="6"/>
  <c r="H1235" i="6"/>
  <c r="I1231" i="6" s="1"/>
  <c r="H1229" i="6"/>
  <c r="I1225" i="6" s="1"/>
  <c r="H1032" i="6"/>
  <c r="I1030" i="6" s="1"/>
  <c r="H1057" i="6"/>
  <c r="I1055" i="6" s="1"/>
  <c r="G1055" i="6"/>
  <c r="H1052" i="6"/>
  <c r="I1050" i="6" s="1"/>
  <c r="G1050" i="6"/>
  <c r="H1047" i="6"/>
  <c r="I1045" i="6" s="1"/>
  <c r="G1045" i="6"/>
  <c r="H1112" i="6"/>
  <c r="I1110" i="6" s="1"/>
  <c r="I1105" i="6"/>
  <c r="H690" i="6"/>
  <c r="I687" i="6" s="1"/>
  <c r="F621" i="6"/>
  <c r="G621" i="6" s="1"/>
  <c r="I942" i="6"/>
  <c r="H252" i="6"/>
  <c r="I1025" i="6"/>
  <c r="H1037" i="6"/>
  <c r="I1035" i="6" s="1"/>
  <c r="G1035" i="6"/>
  <c r="H1017" i="6"/>
  <c r="I1014" i="6" s="1"/>
  <c r="G1013" i="6"/>
  <c r="I992" i="6"/>
  <c r="H1147" i="6"/>
  <c r="I1144" i="6" s="1"/>
  <c r="G812" i="6"/>
  <c r="G724" i="6"/>
  <c r="F724" i="6"/>
  <c r="G407" i="6"/>
  <c r="G377" i="6"/>
  <c r="G128" i="6"/>
  <c r="G248" i="6"/>
  <c r="H703" i="6"/>
  <c r="I700" i="6" s="1"/>
  <c r="G260" i="6"/>
  <c r="G292" i="6"/>
  <c r="F395" i="6"/>
  <c r="F11" i="6"/>
  <c r="H270" i="6"/>
  <c r="H220" i="6"/>
  <c r="I216" i="6" s="1"/>
  <c r="I930" i="6"/>
  <c r="G65" i="6"/>
  <c r="H308" i="6"/>
  <c r="G304" i="6"/>
  <c r="H1132" i="6"/>
  <c r="I1130" i="6" s="1"/>
  <c r="G1130" i="6"/>
  <c r="H1122" i="6"/>
  <c r="I1120" i="6" s="1"/>
  <c r="G1120" i="6"/>
  <c r="H1102" i="6"/>
  <c r="I1100" i="6" s="1"/>
  <c r="G1100" i="6"/>
  <c r="G1105" i="6"/>
  <c r="H1082" i="6"/>
  <c r="I1080" i="6" s="1"/>
  <c r="G1080" i="6"/>
  <c r="H1077" i="6"/>
  <c r="I1075" i="6" s="1"/>
  <c r="G1075" i="6"/>
  <c r="H1042" i="6"/>
  <c r="I1040" i="6" s="1"/>
  <c r="G1040" i="6"/>
  <c r="G1025" i="6"/>
  <c r="G1674" i="6"/>
  <c r="G1166" i="6"/>
  <c r="G1491" i="6"/>
  <c r="G1431" i="6" s="1"/>
  <c r="G1427" i="6" s="1"/>
  <c r="G1423" i="6" s="1"/>
  <c r="G1419" i="6" s="1"/>
  <c r="G1415" i="6" s="1"/>
  <c r="I972" i="6"/>
  <c r="F788" i="6"/>
  <c r="H792" i="6" s="1"/>
  <c r="I789" i="6" s="1"/>
  <c r="H727" i="6"/>
  <c r="H725" i="6" s="1"/>
  <c r="I396" i="6"/>
  <c r="H677" i="6"/>
  <c r="I674" i="6" s="1"/>
  <c r="H406" i="6"/>
  <c r="I402" i="6" s="1"/>
  <c r="G402" i="6"/>
  <c r="G364" i="6"/>
  <c r="G341" i="6"/>
  <c r="G636" i="6"/>
  <c r="H1067" i="6"/>
  <c r="I1065" i="6" s="1"/>
  <c r="G611" i="6"/>
  <c r="H1092" i="6"/>
  <c r="I1090" i="6" s="1"/>
  <c r="G1090" i="6"/>
  <c r="G1060" i="6"/>
  <c r="H1062" i="6"/>
  <c r="I1060" i="6" s="1"/>
  <c r="G820" i="6"/>
  <c r="G631" i="6"/>
  <c r="G626" i="6"/>
  <c r="H1087" i="6"/>
  <c r="I1085" i="6" s="1"/>
  <c r="G1085" i="6"/>
  <c r="H489" i="6"/>
  <c r="G485" i="6"/>
  <c r="G279" i="6"/>
  <c r="G142" i="6"/>
  <c r="G473" i="6"/>
  <c r="G478" i="6"/>
  <c r="G272" i="6"/>
  <c r="H276" i="6"/>
  <c r="G313" i="6"/>
  <c r="H316" i="6"/>
  <c r="H503" i="6"/>
  <c r="H715" i="6"/>
  <c r="I712" i="6" s="1"/>
  <c r="G711" i="6"/>
  <c r="G242" i="6"/>
  <c r="H246" i="6"/>
  <c r="G345" i="6"/>
  <c r="H226" i="6"/>
  <c r="I222" i="6" s="1"/>
  <c r="G455" i="6"/>
  <c r="G421" i="6"/>
  <c r="G439" i="6"/>
  <c r="G368" i="6"/>
  <c r="G285" i="6"/>
  <c r="G232" i="6"/>
  <c r="G467" i="6"/>
  <c r="G228" i="6"/>
  <c r="G70" i="6"/>
  <c r="G33" i="6"/>
  <c r="H744" i="6"/>
  <c r="I741" i="6" s="1"/>
  <c r="G740" i="6"/>
  <c r="G461" i="6"/>
  <c r="G1670" i="6"/>
  <c r="G1692" i="6"/>
  <c r="G1216" i="6"/>
  <c r="H1219" i="6"/>
  <c r="I1216" i="6" s="1"/>
  <c r="G149" i="6"/>
  <c r="H1127" i="6"/>
  <c r="I1125" i="6" s="1"/>
  <c r="G1125" i="6"/>
  <c r="G108" i="6"/>
  <c r="H768" i="6"/>
  <c r="I765" i="6" s="1"/>
  <c r="G764" i="6"/>
  <c r="G58" i="6"/>
  <c r="G349" i="6"/>
  <c r="G360" i="6"/>
  <c r="H1117" i="6"/>
  <c r="I1115" i="6" s="1"/>
  <c r="G1115" i="6"/>
  <c r="G336" i="6"/>
  <c r="G309" i="6"/>
  <c r="G1095" i="6"/>
  <c r="H1097" i="6"/>
  <c r="I1095" i="6" s="1"/>
  <c r="G317" i="6"/>
  <c r="H320" i="6"/>
  <c r="H326" i="6" l="1"/>
  <c r="G1916" i="6"/>
  <c r="G1899" i="6"/>
  <c r="G1882" i="6"/>
  <c r="G1865" i="6"/>
  <c r="G1848" i="6"/>
  <c r="G1831" i="6"/>
  <c r="G1814" i="6"/>
  <c r="G1797" i="6"/>
  <c r="G1780" i="6"/>
  <c r="G1763" i="6"/>
  <c r="G1746" i="6"/>
  <c r="G1729" i="6"/>
  <c r="H1718" i="6"/>
  <c r="G1712" i="6"/>
  <c r="F1237" i="6"/>
  <c r="G1237" i="6" s="1"/>
  <c r="H1239" i="6"/>
  <c r="G395" i="6"/>
  <c r="G11" i="6"/>
  <c r="G788" i="6"/>
  <c r="H1237" i="6" l="1"/>
  <c r="I1237" i="6"/>
</calcChain>
</file>

<file path=xl/sharedStrings.xml><?xml version="1.0" encoding="utf-8"?>
<sst xmlns="http://schemas.openxmlformats.org/spreadsheetml/2006/main" count="5045" uniqueCount="1342">
  <si>
    <t>LUVA PVC ROSCAVEL P/ ELETRODUTO 3/4"</t>
  </si>
  <si>
    <t>CABO DE COBRE ISOLAMENTO ANTI-CHAMA 450/750V 2,5MM2, TP PIRASTIC PIRELLI OU EQUIV</t>
  </si>
  <si>
    <t>FITA ISOLANTE ADESIVA ANTI-CHAMA EM ROLOS 19MM X 5M</t>
  </si>
  <si>
    <t>DESCRIÇÃO</t>
  </si>
  <si>
    <t xml:space="preserve">AJUDANTE </t>
  </si>
  <si>
    <t>TOMADA LOGICA RJ-45 TIPO KEYSTONE JACK, CAT. 6</t>
  </si>
  <si>
    <t>TINTA LATEX PVA</t>
  </si>
  <si>
    <t>ACIDO MURIATICO (SOLUCAO ACIDA)</t>
  </si>
  <si>
    <t>m.obra</t>
  </si>
  <si>
    <t>material</t>
  </si>
  <si>
    <t>74157/003</t>
  </si>
  <si>
    <t>h</t>
  </si>
  <si>
    <t>m³</t>
  </si>
  <si>
    <t>kg</t>
  </si>
  <si>
    <t>m²</t>
  </si>
  <si>
    <t>m</t>
  </si>
  <si>
    <t>COT.</t>
  </si>
  <si>
    <t>FECHADURA DE EMBUTIR COMPLETA, PARA PORTAS EXTERNAS, PADRAO DE ACABAMENTO SUPERIOR.</t>
  </si>
  <si>
    <t>GALVANIZACAO A FRIO (TINTA RICA EM ZINCO)</t>
  </si>
  <si>
    <t xml:space="preserve">ADUELA/BATENTE DUPLO/CAIXAO/GRADE CAIXA 15 X 3CM P/ PORTA 0,60 A 1,20 X 2,10M MADEIRA IPÊ/MOGNO/CEREJEIRA OU SIMILAR </t>
  </si>
  <si>
    <t xml:space="preserve">ARGAMASSA CIMENTO/AREIA 1:4 - PREPARO MANUAL - P </t>
  </si>
  <si>
    <t>ESQUADRIAS</t>
  </si>
  <si>
    <t xml:space="preserve">ARGAMASSA CIMENTO/AREIA 1:4 - PREPARO MANUAL </t>
  </si>
  <si>
    <t>74071/002</t>
  </si>
  <si>
    <t>PORTA ALUMINIO ABRIR, PERFIL SERIE 25, TP VENEZIANA C/ GUARNICAO 100 X 100CM</t>
  </si>
  <si>
    <t xml:space="preserve">TIJOLO CERAMICO FURADO 8 FUROS 10 X 20 X 20CM </t>
  </si>
  <si>
    <t>DIVISORIA 35MM PAINEL CEGO MIOLO VERMICULITA REVESTIDA C/CHAPA LAMINADA EM CORES DE MADEIRA PRENSADA C/MONTANTES ALUMINO ANODIZADO NATURAL EM "L" "T" OU "X" INCL PORTAS EXCL SUAS FERRAGENS.</t>
  </si>
  <si>
    <t>COBERTURA</t>
  </si>
  <si>
    <t xml:space="preserve">TELHADISTA </t>
  </si>
  <si>
    <t>REBITE DE ALUMINIO VAZADO DE REPUXO, 3,2 X 8MM - (1KG=1025UNID) KG 36,87</t>
  </si>
  <si>
    <t>PREGO POLIDO DE AÇO 18 X 27 KG 6,20</t>
  </si>
  <si>
    <t>RUFO EM CHAPA DE ALUMINIO E=0,8MM, DESENVOLVIMENTO DE 0,50 M.</t>
  </si>
  <si>
    <t>CHAPA ALUMINIO P/ RUFO E = 0,8MM L = 0,5M KG 19,82</t>
  </si>
  <si>
    <t>m3</t>
  </si>
  <si>
    <t>IMPERMEABILIZANTE P/ CONCRETO E ARGAMASSA TP VEDACIT OTTO BAUMGART OU MARCA EQUIVALENTE KG 6,31</t>
  </si>
  <si>
    <t>6011 ARGAMASSA TRACO 1:3 (CIMENTO E AREIA MEDIA PENEIRADA), PREPARO MECANI M3 460,54</t>
  </si>
  <si>
    <t>EMBOCO PAULISTA (MASSA UNICA) TRACO 1:2:8 (CIMENTO, CAL E AREIA), ESPESSURA 1,5CM, PREPARO MANUAL (BASE PARA REVESTIMENTO CERÂMICO)</t>
  </si>
  <si>
    <t>ARGAMASSA TRACO 1:2:8 (CIMENTO, CAL E AREIA SEM PENEIRAR), PREPARO MANUAL M3 327,07</t>
  </si>
  <si>
    <t>ARGAMASSA TRACO 1:3 (CIMENTO E AREIA MEDIA PENEIRADA), PREPARO MANUAL</t>
  </si>
  <si>
    <t>EMBOCO TRACO 1:2:8 (CIMENTO, CAL E AREIA MEDIA), ESPESSURA 2,0CM, PREPARO MECANICO DA ARGAMASSA M2 18,94</t>
  </si>
  <si>
    <t>ARGAMASSA TRACO 1:2:11 (CIMENTO, CAL E AREIA MEDIA NAO PENEIRADA), PREPARO MECANICO M3 251,99</t>
  </si>
  <si>
    <t>SOLEIRA GRANITO 15 X 3CM M 125,94</t>
  </si>
  <si>
    <t>SOLEIRA DE GRANITO, LARGURA 15CM, ESPESSURA 3CM, ASSENTADA SOBRE ARGAMASSA TRACO 1:4 (CIMENTO E AREIA)</t>
  </si>
  <si>
    <t>Comp.               84161</t>
  </si>
  <si>
    <t>CONCRETO PARA LASTRO ESPESSURA 7CM CONCRETO MINIMO 15 MPA</t>
  </si>
  <si>
    <t>REVESTIMENTO DE PAREDES INTERNAS</t>
  </si>
  <si>
    <t>REVESTIMENTO DE PAREDES EXTERNAS</t>
  </si>
  <si>
    <t>ELETRODUTO DE PVC ROSCÁVEL DE 3/4" (19 MM)</t>
  </si>
  <si>
    <t>73860/008</t>
  </si>
  <si>
    <t>CABO DE COBRE ISOLADO PVC 450/750V 2,5MM2 RESISTENTE A CHAMA - FORNECI M 2,40</t>
  </si>
  <si>
    <t>CAIXA DE PASSAGEM PVC 3X3" OCTOGONAL - FORNECIMENTO E INSTALACAO UN 7,41</t>
  </si>
  <si>
    <t>BUCHA DE NYLON S-4</t>
  </si>
  <si>
    <t>PARAFUSO FENDA EM AÇO INOX AUTOATARRACHANTE 3,5 X 25MM</t>
  </si>
  <si>
    <t>PARAFUSO ROSCA SOBERBA ZINCADO CAB CHATA FENDA SIMPLES 3,5 X 25MM (1") UN 0,06</t>
  </si>
  <si>
    <t>CAIXA DE PASSAGEM DE SOBREPOR EM AÇO PINTADO DE 200X200X120MM</t>
  </si>
  <si>
    <t>TOMADA PARA TELEEFONE 4 POLOS PADRÃO TELEBRÁS</t>
  </si>
  <si>
    <t>Comp.             73949/009</t>
  </si>
  <si>
    <t>TORNEIRA PARA LAVATÓRIO DIAM 1/2” - FECHO RÁPIDO</t>
  </si>
  <si>
    <t>REGISTRO PRESSÃO 3/4" COM CANOPLA ACABAMENTO CROMADO SIMPLES - FORNECIMENTO E INSTALACAO</t>
  </si>
  <si>
    <t>M.OBRA</t>
  </si>
  <si>
    <t>MAT.</t>
  </si>
  <si>
    <t>74184/001</t>
  </si>
  <si>
    <t>REGISTRO GAVETA 1" BRUTO LATAO - FORNECIMENTO E INSTALACAO</t>
  </si>
  <si>
    <t>REGISTRO GAVETA 1" BRUTO LATAO REF 1502-B</t>
  </si>
  <si>
    <t>ADAPTADOR PVC SOLDAVEL CURTO PARA REGISTRO 25MMX3/4" - FORNECIMENTO E INSTALACAO</t>
  </si>
  <si>
    <t>ADAPTADOR PVC SOLDAVEL CURTO C/BOLSA-ROSCA P/REGISTRO 25MM 3/4"</t>
  </si>
  <si>
    <t>ADAPTADOR PVC SOLDAVEL CURTO PARA REGISTRO 32MMX1" - FORNECIMENTO E INSTALACAO</t>
  </si>
  <si>
    <t>ADAPTADOR PVC SOLDAVEL CURTO C/BOLSA-ROSCA P/REGISTRO 32MM 1"</t>
  </si>
  <si>
    <t>REDUCAO PVC SOLD LONGA P/ AGUA FRIA PRED 50MM X 32MM - FORNECIMENTO E INSTALAÇÃO</t>
  </si>
  <si>
    <t>CURVA 45 GRAUS DIAMETRO 32 MM</t>
  </si>
  <si>
    <t>CURVA 45 GRAUS DIÂMETRO 32 MM</t>
  </si>
  <si>
    <t xml:space="preserve">JOELHO PVC SOLDAVEL 90º AGUA FRIA 25MM </t>
  </si>
  <si>
    <t>JOELHO DE REDUÇÃO PVC SOLDAVEL 90º AGUA FRIA 32X25MM - FORNECIMENTO E INSTALACAO</t>
  </si>
  <si>
    <t>LUVA PVC SOLDAVEL AGUA FRIA 32MM - FORNECIMENTO E INSTALACAO</t>
  </si>
  <si>
    <t xml:space="preserve">LUVA PVC SOLD P/AGUA FRIA PREDIAL 32 MM </t>
  </si>
  <si>
    <t>TE DE PVC SOLDAVEL AGUA FRIA 32MM - FORNECIMENTO E INSTALACAO</t>
  </si>
  <si>
    <t>TE PVC SOLD 90G P/ AGUA FRIA PREDIAL 32MM</t>
  </si>
  <si>
    <t>TE REDUÇÃO PVC SOLD P/AGUA FRIA PREDIAL 25 X 20MM</t>
  </si>
  <si>
    <t>75051/002</t>
  </si>
  <si>
    <t>TUBO DE PVC SOLDAVEL, SEM CONEXOES 32MM - FORNECIMENTO E INSTALACAO</t>
  </si>
  <si>
    <t>75051/003</t>
  </si>
  <si>
    <t>75051/005</t>
  </si>
  <si>
    <t>TUBO DE PVC SOLDAVEL, SEM CONEXOES 50MM - FORNECIMENTO E INSTALACAO</t>
  </si>
  <si>
    <t>TUBO PVC SOLDAVEL EB-892 P/AGUA FRIA PREDIAL DN 32MM</t>
  </si>
  <si>
    <t>TUBO PVC SOLDAVEL EB-892 P/AGUA FRIA PREDIAL DN 50MM</t>
  </si>
  <si>
    <t>LUVA PVC SOLDAVEL COM ROSCA PARA AGUA FRIA 25MMX3/4" - FORNECIMENTO E INSTALACAO</t>
  </si>
  <si>
    <t>CAIXA SIFONADA PVC 150X150X50MM COM GRELHA REDONDA BRANCA - FORNECIMEN UN 25,69</t>
  </si>
  <si>
    <t>Comp.                 74165/003</t>
  </si>
  <si>
    <t>Comp.                 74165/004</t>
  </si>
  <si>
    <t>IMPERMEABILIZACAO DE SUPERFICIE COM ARGAMASSA DE CIMENTO E AREIA), TRACO 1:3, COM ADITIVO IMPERMEABILIZANTE, E=2CM. (MEDI M2 27,93</t>
  </si>
  <si>
    <t>REGULARIZACAO E COMPACTACAO MANUAL DE TERRENO COM SOQUETE</t>
  </si>
  <si>
    <t>CAIXA DE INSPEÇÃO 60X60X65CM EM ALVENARIA REVESTIDA COM ARGAMASSA 1:2:8 COM TAMPA E FUNDO EM CONCRETO, INCLUSIVE ESCAVAÇÃO, APILOAMENTO E IMPERMEABILIZAÇÃO COM APLICAÇÃO DE BETUME 2 DEMÃOS.</t>
  </si>
  <si>
    <t>CAIXA DE INSPEÇÃO 60X60X60CM EM ALVENARIA COM GRELHA</t>
  </si>
  <si>
    <t>73870/002</t>
  </si>
  <si>
    <t>DRENAGEM DO PISO ATRAVÉS DE CALHA DE PVC, REFORÇADA, TIPO TIGRE OU SIMILAR</t>
  </si>
  <si>
    <t xml:space="preserve">ESQUADRO PARA CALHA PISO PVC REFORÇADO, TIPO TIGRE, DN 130X75 </t>
  </si>
  <si>
    <t xml:space="preserve">BOCAL DE SAÍDA PARA CALHA PISO PVC REFORÇADO, TIPO TIGRE, DN 130X75 </t>
  </si>
  <si>
    <t>CALHA PISO PVC REFORÇADO, TIPO TIGRE, DN 130X75X500</t>
  </si>
  <si>
    <t>GRELHA PARA CALHA PISO PVC REFORÇADO, TIPO TIGRE, DN 130X500</t>
  </si>
  <si>
    <t xml:space="preserve">Comp..                    73953 </t>
  </si>
  <si>
    <t>74065/002</t>
  </si>
  <si>
    <t>TINTA ESMALTE SINTETICO FOSCO</t>
  </si>
  <si>
    <t>FUNDO SINTETICO NIVELADOR BRANCO</t>
  </si>
  <si>
    <t>SOLVENTE DILUENTE</t>
  </si>
  <si>
    <t xml:space="preserve">PINTURA ESMALTE ACETINADO PARA MADEIRA, DUAS DEMAOS, SOBRE FUNDO NIVELADOR BRANCO  </t>
  </si>
  <si>
    <t xml:space="preserve">FUNDO ANTICORROSIVO </t>
  </si>
  <si>
    <t xml:space="preserve">PREÇO TOTAL (R$)     SEM BDI </t>
  </si>
  <si>
    <t>1.1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</si>
  <si>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</si>
  <si>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</si>
  <si>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</si>
  <si>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</si>
  <si>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</si>
  <si>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</si>
  <si>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</si>
  <si>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</si>
  <si>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</si>
  <si>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</si>
  <si>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</si>
  <si>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</si>
  <si>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</si>
  <si>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</si>
  <si>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</si>
  <si>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</si>
  <si>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</si>
  <si>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</si>
  <si>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</si>
  <si>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</si>
  <si>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</si>
  <si>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</si>
  <si>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</si>
  <si>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</si>
  <si>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5.6</t>
  </si>
  <si>
    <t>5.7</t>
  </si>
  <si>
    <t>5.8</t>
  </si>
  <si>
    <t>6.1</t>
  </si>
  <si>
    <t>6.2</t>
  </si>
  <si>
    <t>6.3</t>
  </si>
  <si>
    <t>6.5</t>
  </si>
  <si>
    <t>6.4</t>
  </si>
  <si>
    <t>7.1</t>
  </si>
  <si>
    <t>8.1</t>
  </si>
  <si>
    <t>8.2</t>
  </si>
  <si>
    <t>9.1</t>
  </si>
  <si>
    <t>9.2</t>
  </si>
  <si>
    <t>10.1</t>
  </si>
  <si>
    <t>10.2</t>
  </si>
  <si>
    <t>10.3</t>
  </si>
  <si>
    <t>11.1</t>
  </si>
  <si>
    <t>11.2</t>
  </si>
  <si>
    <t>12.1</t>
  </si>
  <si>
    <t>12.2</t>
  </si>
  <si>
    <t>12.3</t>
  </si>
  <si>
    <t>12.4</t>
  </si>
  <si>
    <t>12.5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</si>
  <si>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</si>
  <si>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</si>
  <si>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</si>
  <si>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</si>
  <si>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</si>
  <si>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</si>
  <si>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</si>
  <si>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</si>
  <si>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</si>
  <si>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</si>
  <si>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13.11</t>
  </si>
  <si>
    <t>13.12</t>
  </si>
  <si>
    <t>13.13</t>
  </si>
  <si>
    <t>13.14</t>
  </si>
  <si>
    <t>13.15</t>
  </si>
  <si>
    <t>13.16</t>
  </si>
  <si>
    <t>13.17</t>
  </si>
  <si>
    <t>13.18</t>
  </si>
  <si>
    <t>13.19</t>
  </si>
  <si>
    <t>13.20</t>
  </si>
  <si>
    <t>13.21</t>
  </si>
  <si>
    <t>13.22</t>
  </si>
  <si>
    <t>13.23</t>
  </si>
  <si>
    <t>13.24</t>
  </si>
  <si>
    <t>13.25</t>
  </si>
  <si>
    <t>13.26</t>
  </si>
  <si>
    <t>13.27</t>
  </si>
  <si>
    <t>13.28</t>
  </si>
  <si>
    <t>13.29</t>
  </si>
  <si>
    <t>13.30</t>
  </si>
  <si>
    <t>13.31</t>
  </si>
  <si>
    <t>13.32</t>
  </si>
  <si>
    <t>13.33</t>
  </si>
  <si>
    <t>13.34</t>
  </si>
  <si>
    <t>13.35</t>
  </si>
  <si>
    <t>13.36</t>
  </si>
  <si>
    <t>13.37</t>
  </si>
  <si>
    <t>14.1</t>
  </si>
  <si>
    <t>14.12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</si>
  <si>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</si>
  <si>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</si>
  <si>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</si>
  <si>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</si>
  <si>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</si>
  <si>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</si>
  <si>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</si>
  <si>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</si>
  <si>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</si>
  <si>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</si>
  <si>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14.13</t>
  </si>
  <si>
    <t>14.14</t>
  </si>
  <si>
    <t>14.15</t>
  </si>
  <si>
    <t>14.16</t>
  </si>
  <si>
    <t>15.1</t>
  </si>
  <si>
    <t>16.1</t>
  </si>
  <si>
    <t>16.2</t>
  </si>
  <si>
    <t>16.3</t>
  </si>
  <si>
    <t>17.1</t>
  </si>
  <si>
    <t>18.1</t>
  </si>
  <si>
    <t>19.1</t>
  </si>
  <si>
    <t>22.1</t>
  </si>
  <si>
    <t>73992/001</t>
  </si>
  <si>
    <t>LOCACAO CONVENCIONAL DE OBRA, ATRAVÉS DE GABARITO DE TABUAS CORRIDAS PONTALETADAS A CADA 1,50M</t>
  </si>
  <si>
    <t xml:space="preserve">M2 </t>
  </si>
  <si>
    <t>FORMA DE MADEIRA COMUM PARA FUNDACOES</t>
  </si>
  <si>
    <t>73942/002</t>
  </si>
  <si>
    <t>ARMACAO (FORN., CORTE, DOBRA E COLOC.) ACO CA-60 DIAM. 3,4 A 6,0MM.</t>
  </si>
  <si>
    <t>73965/010</t>
  </si>
  <si>
    <t>ESCAVACAO MANUAL DE VALA EM MATERIAL DE 1A CATEGORIA ATE 1,5M EXCLUINDO ESGOTAMENTO / ESCORAMENTO</t>
  </si>
  <si>
    <t>73972/001</t>
  </si>
  <si>
    <t>REGULARIZACAO E COMPACTACAO DE TERRENO, COM SOQUETE</t>
  </si>
  <si>
    <t>74115/001</t>
  </si>
  <si>
    <t>74254/002</t>
  </si>
  <si>
    <t>ARMACAO (FORNECIMENTO, CORTE, DOBRA E COLOCAÇÃO) ACO CA-50, DIAM. 6,3 (1/4 ) À 12,5MM(1/2 )</t>
  </si>
  <si>
    <t>PAREDES E PAINEIS</t>
  </si>
  <si>
    <t>73988/002</t>
  </si>
  <si>
    <t>ENCUNHAMENTO (APERTO) DE ALVENARIA 1/2 VEZ COM ARGAMASSA TRACO 1:0,5:8 (CIMENTO, CAL E AREIA), ESPESSURA 3CM</t>
  </si>
  <si>
    <t>M</t>
  </si>
  <si>
    <t>74200/001</t>
  </si>
  <si>
    <t>VERGA 10X10CM EM CONCRETO PRÉ-MOLDADO FCK=20MPA (PREPARO COM BETONEIRA) AÇO CA60, BITOLA FINA, INCLUSIVE FORMAS TABUA 3A.</t>
  </si>
  <si>
    <t>VIDROS</t>
  </si>
  <si>
    <t>VIDRO LISO COMUM TRANSPARENTE, ESPESSURA 4MM</t>
  </si>
  <si>
    <t>IMPERMEABILIZAÇÃO</t>
  </si>
  <si>
    <t>74106/001</t>
  </si>
  <si>
    <t>IMPERMEABILIZACAO COM TINTA BETUMINOSA EM FUNDACOES, BALDRAMES E MUROS DE ARRIMO, FOSSO ELEVADOR, DUAS DEMAOS</t>
  </si>
  <si>
    <t>FORRO</t>
  </si>
  <si>
    <t>TINTA ASFALTICA P/ CONCRETO E ARGAMASSA TIPO NEUTROLIN OTTO BAUMGART OU MARCA EQUIVALENTE</t>
  </si>
  <si>
    <t>ARGAMASSA OU CIMENTO COLANTE EM PO PARA FIXACAO DE PECAS CERAMICAS</t>
  </si>
  <si>
    <t>CHAPISCO EM PAREDES TRACO 1:3 (CIMENTO E AREIA), ESPESSURA 0,5CM, PREPARO MECANICO</t>
  </si>
  <si>
    <t>REVESTIMENTO DE PISOS</t>
  </si>
  <si>
    <t xml:space="preserve">M3 </t>
  </si>
  <si>
    <t>TE REDUÇÃO PVC SOLDAVEL AGUA FRIA 50X25MM - FORNECIMENTO E INSTALACAO</t>
  </si>
  <si>
    <t>JOELHO PVC SOLDAVEL 90º AGUA FRIA 25MM - FORNECIMENTO E INSTALACAO</t>
  </si>
  <si>
    <t>JOELHO PVC SOLDAVEL COM ROSCA METALICA 90º AGUA FRIA 25MMX1/2" - FORNECIMENTO E INSTALACAO</t>
  </si>
  <si>
    <t>TUBO DE PVC SOLDAVEL, SEM CONEXOES 25MM - FORNECIMENTO E INSTALACAO</t>
  </si>
  <si>
    <t>BLOCO AUTÔNOMO PARA ILUMINAÇÃO DE EMERGÊNCIA, PARA 2 LÂMPADAS FLUORESCENTES TUBULARES DE 9W, COM BATERIA INTERNA E AUTONOMIA MÍNIMA DE 6 HORAS, REF. DYNALUX OU SIMILAR</t>
  </si>
  <si>
    <t>TORNEIRA C/ REGULAGEM DE VAZÃO POR MEIO DE REGISTRO INTEGRADO, ACABAMENTO CROMADO (REF. DECA LINHA PROFISSIONAL, DECAMATIC CÓDIGO 1170C OU SIMILAR) - FORNECIMENTO E INSTALACAO</t>
  </si>
  <si>
    <t>LUVA PARA ELETRODUTO DE PVC RIGIDO, 3/4"</t>
  </si>
  <si>
    <t>CJ</t>
  </si>
  <si>
    <t>PINTURA</t>
  </si>
  <si>
    <t>LIMPEZA FINAL DE OBRA</t>
  </si>
  <si>
    <t>LIMPEZA FINAL DA OBRA</t>
  </si>
  <si>
    <t>H</t>
  </si>
  <si>
    <t>AREIA MEDIA</t>
  </si>
  <si>
    <t>CIMENTO PORTLAND COMUM CP I- 32</t>
  </si>
  <si>
    <t>ENCANADOR OU BOMBEIRO HIDRAULICO</t>
  </si>
  <si>
    <t>PEDREIRO</t>
  </si>
  <si>
    <t>TUBO PVC SOLDAVEL EB-892 P/AGUA FRIA PREDIAL DN 25MM</t>
  </si>
  <si>
    <t>OBRA :</t>
  </si>
  <si>
    <t>LOCAL :</t>
  </si>
  <si>
    <t>UNIDADE</t>
  </si>
  <si>
    <t>QUANT.</t>
  </si>
  <si>
    <t>PREÇO(R$)</t>
  </si>
  <si>
    <t>UN</t>
  </si>
  <si>
    <t xml:space="preserve">UN </t>
  </si>
  <si>
    <t>M2</t>
  </si>
  <si>
    <t>KG</t>
  </si>
  <si>
    <t>M3</t>
  </si>
  <si>
    <t>ELETRICISTA OU OFICIAL ELETRICISTA</t>
  </si>
  <si>
    <t>SERVENTE</t>
  </si>
  <si>
    <t>ARAME RECOZIDO 18 BWG - 1,25MM - 9,60 G/M</t>
  </si>
  <si>
    <t>PECA DE MADEIRA 2A QUALIDADE 7,5 X 7,5CM NAO APARELHADA</t>
  </si>
  <si>
    <t>PREGO DE ACO 18 X 27</t>
  </si>
  <si>
    <t>AJUDANTE</t>
  </si>
  <si>
    <t>PINTOR</t>
  </si>
  <si>
    <t>L</t>
  </si>
  <si>
    <t xml:space="preserve">H </t>
  </si>
  <si>
    <t>AREIA GROSSA</t>
  </si>
  <si>
    <t>CHAPA MADEIRA COMPENSADA RESINADA 2,2 X 1,1M (12MM) P/ FORMA CONCRETO</t>
  </si>
  <si>
    <t>PEDRA BRITADA N. 1 OU 19 MM</t>
  </si>
  <si>
    <t>ENGATE OU RABICHO FLEXIVEL PLASTICO (PVC OU ABS) BRANCO 1/2" X 30CM</t>
  </si>
  <si>
    <t>DESMOLDANTE PARA FORMA DE MADEIRA</t>
  </si>
  <si>
    <t>PECA DE MADEIRA 3A/4A QUALIDADE 7,5 X 7,5CM (3X3) NAO APARELHADA</t>
  </si>
  <si>
    <t>PECA DE MADEIRA 3A/4A QUALIDADE 2,5 X 5CM NAO APARELHADA</t>
  </si>
  <si>
    <t>ACO CA-60 - 5,0MM</t>
  </si>
  <si>
    <t>ARMADOR</t>
  </si>
  <si>
    <t>OPERADOR DE BETONEIRA ( CAMINHÃO)</t>
  </si>
  <si>
    <t>PEDRA BRITADA N. 2 OU 25 MM</t>
  </si>
  <si>
    <t>BETONEIRA 580L ELETRICA TRIFASICA 7,5HP C/ CARREGADOR MECANICO</t>
  </si>
  <si>
    <t xml:space="preserve">74115/001 </t>
  </si>
  <si>
    <t>AJUDANTE DE ARMADOR</t>
  </si>
  <si>
    <t>AJUDANTE ESPECIALIZADO</t>
  </si>
  <si>
    <t>ARGAMASSA TRACO 1:4 (CIMENTO E AREIA), PREPARO MANUAL</t>
  </si>
  <si>
    <t>PREGO DE AÇO 17X27</t>
  </si>
  <si>
    <t>TÁBUA DE MADEIRA 3A QUALIDADE 2,5X30 CM(1X12") NÃO APARELHADA</t>
  </si>
  <si>
    <t>73972/002</t>
  </si>
  <si>
    <t>CONCRETO ESTRUTURAL FCK 20 MPA VIRADO EM BETONEIRA NA OBRA - SEM LANÇAMENTO</t>
  </si>
  <si>
    <t>73942/001</t>
  </si>
  <si>
    <t>ARMAÇÃO (FORN., CORTE, DOBRA E COLOC.) AÇO CA-60 DIAM.7,0 À 8,0MM</t>
  </si>
  <si>
    <t>CARPINTEIRO DE ESQUADRIA</t>
  </si>
  <si>
    <t>DOBRADICA LATAO CROMADO 3 X 3" C/ ANEIS</t>
  </si>
  <si>
    <t>JG</t>
  </si>
  <si>
    <t>ALIZAR / GUARNICAO 5 X 2CM MADEIRA IPE/MOGNO/CEREJEIRA OU SIMILAR</t>
  </si>
  <si>
    <t>PREGO DE ACO 15 X 15 C/ CABECA</t>
  </si>
  <si>
    <t>PECA DE MADEIRA 1A QUALIDADE 10 X 10 X 3CM P/ FIXACAO ESQUADRIAS OU RODAPE</t>
  </si>
  <si>
    <t>SERRALHEIRO</t>
  </si>
  <si>
    <t>LIXA P/ FERRO</t>
  </si>
  <si>
    <t>GL</t>
  </si>
  <si>
    <t>VIDRACEIRO</t>
  </si>
  <si>
    <t>VIDRO LISO INCOLOR 4MM - SEM COLOCACAO</t>
  </si>
  <si>
    <t>MASSA PARA VIDRO</t>
  </si>
  <si>
    <t>ARGAMASSA TRACO 1:3 (CIMENTO E AREIA), PREPARO MANUAL</t>
  </si>
  <si>
    <t>CERAMICA ESMALTADA EXTRA OU 1A QUALID P/ PAREDE 20 X 20CM PEI-4 - LINHA PADRAO ALTO</t>
  </si>
  <si>
    <t>ESTUCADOR</t>
  </si>
  <si>
    <t>ARGAMASSA TRACO 1:3 (CIMENTO E AREIA GROSSA NAO PENEIRADA), PREPARO MECANICO</t>
  </si>
  <si>
    <t>LIXA P/ PAREDE OU MADEIRA</t>
  </si>
  <si>
    <t>TIJOLO CERAMICO FURADO 8 FUROS 10 X 20 X 20CM</t>
  </si>
  <si>
    <t>AJUDANTE DE ENCANADOR</t>
  </si>
  <si>
    <t>ADESIVO PVC FRASCO C/ 850G</t>
  </si>
  <si>
    <t>SOLUCAO LIMPADORA FRASCO PLASTICO C/ 1000CM3</t>
  </si>
  <si>
    <t>FITA VEDA ROSCA EM ROLOS 18MMX25M</t>
  </si>
  <si>
    <t>FITA VEDA ROSCA EM ROLOS 18MMX10M</t>
  </si>
  <si>
    <t>GRELHA METALICA C/BERÇO</t>
  </si>
  <si>
    <t>AJUDANTE DE ELETRICISTA</t>
  </si>
  <si>
    <t>INSTALAÇÕES HIDRÁULICAS - AGUA FRIA</t>
  </si>
  <si>
    <t>ÁGUAS PLUVIAIS</t>
  </si>
  <si>
    <t>19.2</t>
  </si>
  <si>
    <t>INSTALAÇÃO ELÉTRICA</t>
  </si>
  <si>
    <t>20.1</t>
  </si>
  <si>
    <t>20.2</t>
  </si>
  <si>
    <t>20.3</t>
  </si>
  <si>
    <t>20.4</t>
  </si>
  <si>
    <t>21.1</t>
  </si>
  <si>
    <t>21.2</t>
  </si>
  <si>
    <t>21.3</t>
  </si>
  <si>
    <t>21.4</t>
  </si>
  <si>
    <t>21.5</t>
  </si>
  <si>
    <t>21.6</t>
  </si>
  <si>
    <t>73768/009</t>
  </si>
  <si>
    <t>6.6</t>
  </si>
  <si>
    <t>PLANILHA BÁSICA DE ORÇAMENTO - COMPOSIÇÕES</t>
  </si>
  <si>
    <t>Comp.                72105</t>
  </si>
  <si>
    <t>Comp.                   72109</t>
  </si>
  <si>
    <t>Comp.                   72784</t>
  </si>
  <si>
    <t>Comp.                   72785</t>
  </si>
  <si>
    <t>Comp.          73994/001</t>
  </si>
  <si>
    <t>TELA DE AÇO ELETROSOLDADA TIPO Q92</t>
  </si>
  <si>
    <t>ARMACAO EM TELA SOLDADA Q-92 (ACO CA-60 4,2MM C/15CM)</t>
  </si>
  <si>
    <t>JOELHO 45º PP DURATOP ESGOTO 110MM - FORNECIMENTO E INSTALACAO</t>
  </si>
  <si>
    <t xml:space="preserve">JOELHO 45º PP DURATOP ESGOTO 110MM </t>
  </si>
  <si>
    <t>JOELHO 45º PP DURATOP ESGOTO 50MM - FORNECIMENTO E INSTALACAO</t>
  </si>
  <si>
    <t xml:space="preserve">JOELHO 45º PP DURATOP ESGOTO 50MM </t>
  </si>
  <si>
    <t>Comp.             72543</t>
  </si>
  <si>
    <t>Comp.                 72545</t>
  </si>
  <si>
    <t>JOELHO 45º PP DURATOP ESGOTO 75MM - FORNECIMENTO E INSTALACAO</t>
  </si>
  <si>
    <t xml:space="preserve">JOELHO 45º PP DURATOP ESGOTO 75MM </t>
  </si>
  <si>
    <t>Comp.                  72552</t>
  </si>
  <si>
    <t>JOELHO 87 30 PP DURATOP ESGOTO 50MM - FORNECIMENTO E INSTALACAO</t>
  </si>
  <si>
    <t>Comp.                      72560</t>
  </si>
  <si>
    <t xml:space="preserve">JOELHO 87 30 PP DURATOP ESGOTO 50MM </t>
  </si>
  <si>
    <t>Comp.                     72562</t>
  </si>
  <si>
    <t>JOELHO 87 30 PP DURATOP ESGOTO 75MM - FORNECIMENTO E INSTALACAO</t>
  </si>
  <si>
    <t xml:space="preserve">JOELHO 87 30 PP DURATOP ESGOTO 75MM </t>
  </si>
  <si>
    <t>JUNCAO 45 PP DURATOP ESGOTO  DN 110X110MM</t>
  </si>
  <si>
    <t>JUNCAO 45 PP DURATOP ESGOTO 50X50MM - FORNECIMENTO E INSTALACAO</t>
  </si>
  <si>
    <t>Comp.                72604</t>
  </si>
  <si>
    <t>JUNCAO 45 PP DURATOP ESGOTO DN 50X50MM</t>
  </si>
  <si>
    <t>JUNCAO DE REDUÇÃO 45 PP DURATOP ESGOTO DN 75X50MM</t>
  </si>
  <si>
    <t>LUVA DUPLA PP DURATOP ESGOTO 110MM - FORNECIMENTO E INSTALAÇÃO</t>
  </si>
  <si>
    <t>Comp.                 72628</t>
  </si>
  <si>
    <t xml:space="preserve">LUVA DUPLA PP DURATOP ESGOTO DN 110MM </t>
  </si>
  <si>
    <t>REDUCAO EXCENTRICA PP DURATOP ESGOTO DN 110 X 50MM</t>
  </si>
  <si>
    <t>REDUCAO EXCENTRICA PP DURATOP ESGOTO DN 75 X 50MM</t>
  </si>
  <si>
    <t>TE 87 30 PP DURATOP 50 X 50MM - FORNECIMENTO E INSTALAÇÃO</t>
  </si>
  <si>
    <t>Comp.                  72464</t>
  </si>
  <si>
    <t xml:space="preserve">TE 87 30 PPDURATOP ESGOTO DN 50 X 50MM </t>
  </si>
  <si>
    <t>TUBO DE POLIPROPILENO PP DURATOP 75X2,0MM - FORNECIMENTO E INSTALAÇÃO</t>
  </si>
  <si>
    <t>TUBO DE POLIETILENO PP DURATOP 75X2,0MM-BR 4,00M</t>
  </si>
  <si>
    <t>TUBO DE POLIPROPILENO PP DURATOP 110X2,7MM - FORNECIMENTO E INSTALAÇÃO</t>
  </si>
  <si>
    <t>TUBO DE POLIETILENO PP DURATOP 110X2,7MM-BR 4,00M</t>
  </si>
  <si>
    <t>3.7</t>
  </si>
  <si>
    <t>ESTRUTURA COM PERFÍS DE AÇO ASTM 709 A 588 (RESISTENTE À CORROSÃO) PARA APOIO DA COBERTURA.</t>
  </si>
  <si>
    <t>REDUÇÃO EXCÊNTRICA PP DURATOP ESGOTO 75 X 50MM - FORNECIMENTO E INSTALAÇÃO.</t>
  </si>
  <si>
    <t>Comp.                     007</t>
  </si>
  <si>
    <t>Comp.                       008</t>
  </si>
  <si>
    <t>74138/004</t>
  </si>
  <si>
    <t>CONCRETO ESTRUTURAL FCK=30MPA, USINADO E BOMBEADO, INCLUSO LANÇAMENTO E ADENSAMENTO</t>
  </si>
  <si>
    <t>74254/001</t>
  </si>
  <si>
    <t>ARMACAO (FORNECIMENTO, CORTE, DOBRA E COLOCAÇÃO) ACO CA-50, DIAM. 16 (5/8" ) À 25MM(1")</t>
  </si>
  <si>
    <t>FORMA TABUA PARA CONCRETO EM FUNDACAO, C/ REAPROVEITAMENTO 2X.</t>
  </si>
  <si>
    <t xml:space="preserve"> 73910/007</t>
  </si>
  <si>
    <t>ARGAMASSA CIMENTO/AREIA 1:4 - PREPARO MANUAL - P</t>
  </si>
  <si>
    <t>PORTA MADEIRA COMPENSADA LISA PARA verniz 90 X 210 X 3,5CM</t>
  </si>
  <si>
    <t>P02-PORTA 0.90 X 2.10 M MADEIRA, ABRIR.</t>
  </si>
  <si>
    <t>Comp.               73910/007</t>
  </si>
  <si>
    <t>P01-PORTA 1.00 X 2.10 M, MADEIRA, ABRIR.</t>
  </si>
  <si>
    <t xml:space="preserve"> PORTA MADEIRA COMPENSADA LISA PARA CERA OU VERNIZ 100 X 210 X 3,5CM UN 102,57</t>
  </si>
  <si>
    <t>Comp.      73910/011</t>
  </si>
  <si>
    <t>P03-PORTA 2.00 X 2.10 M MADEIRA, ABRIR, 2 FOLHAS, .</t>
  </si>
  <si>
    <t xml:space="preserve">ADUELA/BATENTE DUPLO/CAIXAO/GRADE CAIXA 15 X 3CM P/ PORTA DE MADEIRA IPÊ/MOGNO/CEREJEIRA OU SIMILAR </t>
  </si>
  <si>
    <t>P04 - PORTÃO  DE CORRER 1 FOLHA, 2.50 X 2,50 M, EM AÇO, COM TRATAMENTO ANTI-CORROSÃO.</t>
  </si>
  <si>
    <t xml:space="preserve">PORTA DE FERRO PORTA FERRO  TP CHAPA C/ GUARNICAO COMPLETA </t>
  </si>
  <si>
    <t xml:space="preserve"> ROLDANA FIXA DUPLA LATAO C/ ROLAMENTO P/ PORTA/JAN CORRER</t>
  </si>
  <si>
    <t>PERFIL "U" CHAPA ACO DOBRADA E = 3,04MM H = 20CM ABAS = 5CM (4,36KG/M) M 13,91</t>
  </si>
  <si>
    <t>P05 - PORTA DE CORRER EXTERNA, 4 FOLHAS, 4.00X3.00M, COM BANDEIRA E LATERAIS FIXAS, EM VIDRO TEMPERADO 10MM.</t>
  </si>
  <si>
    <t>PUXADOR CONCHA LATÃO CROMADO</t>
  </si>
  <si>
    <t>VIDRO TEMPERADO INCOLOR 10MM</t>
  </si>
  <si>
    <t>JOGO DE FERRAGENS CROMADAS</t>
  </si>
  <si>
    <t>P06 - PORTA DE CORRER EXTERNA, 4 FOLHAS, 3.50X3.00M, COM BANDEIRA E LATERAIS FIXAS, EM VIDRO TEMPERADO 10MM.</t>
  </si>
  <si>
    <t>74070/001</t>
  </si>
  <si>
    <t>FECHADURA DE EMBUTIR COMPLETA, PARA PORTAS INTERNAS, PADRAO DE ACABAMENTO SUPERIOR.</t>
  </si>
  <si>
    <t>74069/001</t>
  </si>
  <si>
    <t xml:space="preserve"> FECHADURA EMBUTIR P/ PORTA DE BANHEIRO, COMPLETA - LINHA POPULAR CJ 24,37</t>
  </si>
  <si>
    <t>J01 - JANELA TIPO MAXIM-AR, 2.00X1.20M,  EM ALUMINIO</t>
  </si>
  <si>
    <t>JANELA ALUMINIO MAXIM AR, SERIE 25, (INCLUSO GUARNIÇÃO E VIDRO ) M2 253,11</t>
  </si>
  <si>
    <t xml:space="preserve">CIMENTO </t>
  </si>
  <si>
    <t>AREIA  GROSSA</t>
  </si>
  <si>
    <t>J02 - JANELA TIPO MAXIM-AR, 2.50X0.60M,  EM ALUMINIO</t>
  </si>
  <si>
    <t>73937/001</t>
  </si>
  <si>
    <t>ESTRUTURA METÁLICA PARA COBERTURA APOIADA NAS LAJES, UTILIZANDO AÇO ASTM 709 A 588 (RESISTENTE À CORROSÃO), INCLUINDO PINTURA DE PROTEÇÃO.</t>
  </si>
  <si>
    <t>Comp.</t>
  </si>
  <si>
    <t xml:space="preserve"> PERFIL "U" CHAPA ACO DOBRADA E = 3,04MM H = 15CM ABAS = 5CM (5.68KG/M)</t>
  </si>
  <si>
    <t>COT13340</t>
  </si>
  <si>
    <t xml:space="preserve"> PERFIL "U" CHAPA ACO DOBRADA E = 3,04MM H = 10CM ABAS = 5CM (4.48KG/M)</t>
  </si>
  <si>
    <t>CANTONEIRA #1"X1/8" (1.19KG/M)</t>
  </si>
  <si>
    <t>FERRO MECÂNICO DIAM=1/2" (0.99KG/M)</t>
  </si>
  <si>
    <t>TELHA ACO ZINCADO TRAPEZOIDAL ESP=0,5MM M2 24,57</t>
  </si>
  <si>
    <t xml:space="preserve">CHAPAS DE POLICARBONATO E=3MM, </t>
  </si>
  <si>
    <t>COBERTURA COM PAINÉIS DE POLICARBONATO ALVEOLARES, E=4MM,  INCLUINDO SISTEMA DE FIXAÇÃO, VEDAÇÃO E CALHAS.</t>
  </si>
  <si>
    <t xml:space="preserve"> CHAPA ALUMÍNIO PARA CALHA E = 0,8 MM L = 1,0 M M 45,23</t>
  </si>
  <si>
    <t>CALHA EM CHAPA DE ALUMINIO E=0,8MM, DESENVOLVIMENTO DE 1.00 M.</t>
  </si>
  <si>
    <t xml:space="preserve">CAIXILHO, 40X30CM, ALUMINIO COM TELA MOSQUITEIRO </t>
  </si>
  <si>
    <t>CAIXILHO FIXO DE ALUMINIO SERIE 25, 40X30CM</t>
  </si>
  <si>
    <t>TELA DE NYLON MOSQUITEIRA, TIPO VONDER OU SIMILAR BRANCA</t>
  </si>
  <si>
    <t xml:space="preserve">REVESTIMENTO COM CERAMICA ESMALTADA 20X20CM, 1A LINHA, PADRAO ALTO, ASSENTADA COM ARGAMASSA DE CIMENTO COLANTE E REJUNTAMENTO COM CIMENTO BRANCO. </t>
  </si>
  <si>
    <t>ARGAMASSA TRACO 1:2:8 (CIMENTO, CAL E AREIA SEM PENEIRAR), PREPARO MANUAL</t>
  </si>
  <si>
    <t>PISO PORCELANATO 40 X 40 CM, PEI 5,  ASSENTADO SOBRE ARGAMASSA PRÉ-FABRICADA DE CIMENTO COLANTE E REJUNTADO COM REJUNTE PRÉ-FABRICADO.</t>
  </si>
  <si>
    <t>PISO PORCELANATO POLIDO EXTRA 40 X 40 CM</t>
  </si>
  <si>
    <t>COT</t>
  </si>
  <si>
    <t>ARGAMASSA PRÉ-FABRICADA PARA ASSENTAMENTO DE PORCELANATO INTERNO</t>
  </si>
  <si>
    <t>REJUNTE PARA PORCELANATO TIPO QUARTZOLITE</t>
  </si>
  <si>
    <t>TE DE PVC SOLDAVEL AGUA FRIA 25MM - FORNECIMENTO E INSTALACAO</t>
  </si>
  <si>
    <t>TE DE PVC SOLDAVEL AGUA FRIA 50MM - FORNECIMENTO E INSTALACAO</t>
  </si>
  <si>
    <t>TE PVC SOLD 90G P/ AGUA FRIA PREDIAL 50MM</t>
  </si>
  <si>
    <t>TE REDUÇÃO PVC SOLDAVEL AGUA FRIA32X25MM - FORNECIMENTO E INSTALACAO</t>
  </si>
  <si>
    <t>TE REDUÇÃO PVC SOLD P/AGUA FRIA PREDIAL 32 X 25MM</t>
  </si>
  <si>
    <t>TE PVC SOLD 90G C/ BUCHA LATAO NA BOLSA CENTRAL 25MM X 3/4"</t>
  </si>
  <si>
    <t>LUVA PVC SOLDAVEL AGUA FRIA 25MM - FORNECIMENTO E INSTALACAO</t>
  </si>
  <si>
    <t>LUVA PVC SOLD P/AGUA FRIA PREDIAL 25 MM</t>
  </si>
  <si>
    <t>LUVA PVC SOLDAVEL AGUA FRIA 50MM - FORNECIMENTO E INSTALACAO</t>
  </si>
  <si>
    <t xml:space="preserve">LUVA PVC SOLD P/AGUA FRIA PREDIAL 50 MM </t>
  </si>
  <si>
    <t>LUVA PVC C/ROSCA P/AGUA FRIA PREDIAL 3/4"</t>
  </si>
  <si>
    <t>ADAPTADOR PVC SOLDAVEL CURTO PARA REGISTRO 50MMX1.1/2" - FORNECIMENTO E INSTALACAO</t>
  </si>
  <si>
    <t>Comp.           72787</t>
  </si>
  <si>
    <t>00000112 ADAPTADOR PVC SOLDAVEL CURTO C/ BOLSA E ROSCA P/ REGISTRO 50MM X 1 1/2" UN 2,75</t>
  </si>
  <si>
    <t>ADAPTADOR PVC SOLDAVEL PARA REGISTRO 50MMX1.1/4" - FORNECIMENTO E INSTALACAO</t>
  </si>
  <si>
    <t>00000111 ADAPTADOR PVC SOLDAVEL CURTO C/ BOLSA E ROSCA P/ REGISTRO 50MM X 1 1/4" UN 4,85</t>
  </si>
  <si>
    <t>ADAPTADOR PVC SOLDAVEL C/FLANGE LIVRE P/ CAIXA DÁGUA, 50MMX1.1/2" - FORNECIMENTO E INSTALACAO</t>
  </si>
  <si>
    <t>ADAPTADOR PVC SOLDAVEL C/FLANGE LIVRE P/ CAIXA DÁGUA, 32MMX1" - FORNECIMENTO E INSTALACAO</t>
  </si>
  <si>
    <t>ADAPTADOR PVC SOLDAVEL C/FLANGE FIXA P/ CAIXA DÁGUA, 25MMX3/4" - FORNECIMENTO E INSTALACAO</t>
  </si>
  <si>
    <t>00000066 ADAPTADOR PVC SOLDAVEL FLANGES LIVRES P/ CAIXA D' AGUA 50MM X 1 1/2" UN 24,00</t>
  </si>
  <si>
    <t>00000068 ADAPTADOR PVC SOLDAVEL FLANGES LIVRES P/ CAIXA D' AGUA 32MM X 1 " UN 10,30</t>
  </si>
  <si>
    <t>00020147 JOELHO REDUCAO 90G PVC SOLD C/ BUCHA DE LATAO 25MM X 1/2" UN 3,78</t>
  </si>
  <si>
    <t>JOELHO PVC SOLDAVEL COM ROSCA METALICA 90º AGUA FRIA 25MMX3/4" - FORNECIMENTO E INSTALACAO</t>
  </si>
  <si>
    <t>00003524 JOELHO PVC SOLD 90G C/BUCHA DE LATAO 25MM X 3/4" UN 4,48</t>
  </si>
  <si>
    <t>JOELHO PVC SOLDAVEL 90º AGUA FRIA 32MM - FORNECIMENTO E INSTALACAO</t>
  </si>
  <si>
    <t>JOELHO PVC SOLDAVEL 90º AGUA FRIA 50MM - FORNECIMENTO E INSTALACAO</t>
  </si>
  <si>
    <t>CURVA 45 GRAUS DIAMETRO 25 MM</t>
  </si>
  <si>
    <t>00000820 BUCHA REDUCAO PVC SOLD LONGA P/ AGUA FRIA PRED 50MM X 32MM UN 2,22</t>
  </si>
  <si>
    <t>REDUCAO PVC SOLD LONGA P/ AGUA FRIA PRED 50MM X 25MM - FORNECIMENTO E INSTALAÇÃO</t>
  </si>
  <si>
    <t>00000813 BUCHA REDUCAO PVC SOLD LONGA P/ AGUA FRIA PRED 50MM X 25MM UN 1,51</t>
  </si>
  <si>
    <t>TUBO DE PVC SOLDAVEL, SEM CONEXOES 40MM - FORNECIMENTO E INSTALACAO</t>
  </si>
  <si>
    <t>75051/004</t>
  </si>
  <si>
    <t>74182/001</t>
  </si>
  <si>
    <t>REGISTRO GAVETA 1.1/2" BRUTO LATAO - FORNECIMENTO E INSTALACAO</t>
  </si>
  <si>
    <t>74176/001</t>
  </si>
  <si>
    <t>REGISTRO GAVETA 3/4" COM CANOPLA CROMADA - FORNECIMENTO E INSTALACAO</t>
  </si>
  <si>
    <t>74175/001</t>
  </si>
  <si>
    <t>REGISTRO GAVETA 1" COM CANOPLA CROMADA - FORNECIMENTO E INSTALACAO</t>
  </si>
  <si>
    <t>VÁLVULA DE ESFERA EM BRONZE Ø 3/4" - FORNECIMENTO E INSTALAÇÃO</t>
  </si>
  <si>
    <t>73795/009</t>
  </si>
  <si>
    <t>VALVULA DE RETENCAO HORIZONTAL Ø 25MM (1") - FORNECIMENTO E INSTALACAO</t>
  </si>
  <si>
    <t>73796/002</t>
  </si>
  <si>
    <t>VÁLVULA DE PÉ COM CRIVO Ø 25MM (1") - FORNECIMENTO E INSTALAÇÃO</t>
  </si>
  <si>
    <t>00006024 REGISTRO PRESSAO 3/4" REF 1416 - C/ CANOPLA ACAB CROMADO SIMPLES UN 57,55</t>
  </si>
  <si>
    <t>00006005 REGISTRO DE GAVETA 3/4" COM VOLANTE CROMADO</t>
  </si>
  <si>
    <t>00011749 VALVULA DE ESFERA EM BRONZE REF 1552-B 3/4" BRUTA UN 35,75</t>
  </si>
  <si>
    <t>TORNEIRA CROMADA 1/2" OU 3/4" PARA JARDIM OU TANQUE, PADRAO ALTO - FORNECIMENTO E INSTALAÇÃO</t>
  </si>
  <si>
    <t>TORNEIRA CROMADA TUBO MOVEL PARA BANCADA 1/2" OU 3/4" PARA PIA DE COZINHA, PADRAO ALTO - FORNECIMENTO E INSTALACAO UN 159,19</t>
  </si>
  <si>
    <t>00011772 TORNEIRA CROMADA TUBO MOVEL P/ BANCADA 1/2" OU 3/4" REF 1167 P/ PIA COZ - PADRAO ALTO UN 203,44</t>
  </si>
  <si>
    <t>00001380 CIMENTO BRANCO KG 1,47</t>
  </si>
  <si>
    <t>74234/001</t>
  </si>
  <si>
    <t>BANCADA DE GRANITO NAS DIMENSÕES DE 2.30X0.55M, COM DOIS LAVATÓRIOS DE LOUÇA, TIPO CUBA EMBUTIDA, COM FORNECIMENTO E INSTALAÇÃO.</t>
  </si>
  <si>
    <t>m2</t>
  </si>
  <si>
    <t>00011760 SIFAO EM METAL CROMADO 1 X 1 1/4" UN 133,34</t>
  </si>
  <si>
    <t>00006157 VALVULA EM METAL CROMADO TIPO AMERICANA 3.1/2" X 1.1/2" P/ PIA DE COZINHA UN 45,51</t>
  </si>
  <si>
    <t>00006141 ENGATE OU RABICHO FLEXIVEL PLASTICO (PVC OU ABS) BRANCO 1/2" X 30CM UN 2,10</t>
  </si>
  <si>
    <t xml:space="preserve">un </t>
  </si>
  <si>
    <t>LAVATÓRIO DE LOUÇA PARA PORTADORES DE DEFICIÊNCIA, INCLUINDO CONJUNTO PARA FIXAÇÃO, BARRA DE APOIO CONTORNO DO LAVATÓRIO, SIFÃO, VÁLVULA E ENGATE - FORNECIMENTO E INSTALAÇÃO.</t>
  </si>
  <si>
    <t>00010425 LAVATORIO LOUCA BRANCA SUSPENSO 29,5 X 39,0CM OU EQUIV-PADRAO POPULAR UN 37,11</t>
  </si>
  <si>
    <t>PARAFUSO NIQUELADO P/ FIXAR PECA SANITARIA - INCL PORCA CEGA, ARRUELA E BUCHA DE NYLON S-8</t>
  </si>
  <si>
    <t>BARRA APOIO EM INOX DIAM. 40MM - CONTORNO LAVATORIO</t>
  </si>
  <si>
    <t>00006136 SIFAO EM METAL CROMADO PARA LAVATORIO, DE 1" X 1 1/2" UN 106,57</t>
  </si>
  <si>
    <t>BARRA DE APOIO DECA LINHA CONFORTO CÓD. 2310 EBR - 80 CM</t>
  </si>
  <si>
    <t>BARRA DE APOIO DECA LINHA CONFORTO CÓD. 2310 EBR - 80 CM, PARA VASO SANITÁRIO, PORTADORES DEFICIÊNCIA</t>
  </si>
  <si>
    <t>TORNEIRA CROMADA C/ ALAVANCA, P/ PNE, APROVADA PELA NBR 9050, PRESSMATIC OU EQUIVALENTE - FORNECIMENTO E INSTALACAO</t>
  </si>
  <si>
    <t>TORNEIRA TIPO ALAVANCA PARA PNE CONFORME NBR 9050</t>
  </si>
  <si>
    <t>CAIXA DÁGUA EM POLIETILENO 200X245CM COM CAPACIDADE PARA 5000 LITROS. FORNECIMENTO E INSTALAÇÃO.</t>
  </si>
  <si>
    <t>Viga de 1ª 60x160mm</t>
  </si>
  <si>
    <t xml:space="preserve">CAIXA DÁGUA EM POLIETILENO 200X245CM COM CAPACIDADE PARA 5000 LITROS. </t>
  </si>
  <si>
    <t>00001743 CUBA ACO INOXIDAVEL NUM 1 (46,5X30,0X11,5) CM</t>
  </si>
  <si>
    <t>00011795 GRANITO CINZA POLIDO P/BANCADA E=2,5 CM</t>
  </si>
  <si>
    <t>BANCADA DE GRANITO, NA COPA,  NAS DIMENSÕES DE 2.85X0.55M, COM UMA CUBA DE AÇO INOX, COM FORNECIMENTO E INSTALAÇÃO.</t>
  </si>
  <si>
    <t>BANCADA DE CONCRETO ARMADO, 2.00x0.55M, COM DUAS CUBAS DE AÇO INOX, REVESTIDO COM PORCELANATO POLIDO 60X60CM, JUNTA 2MM.</t>
  </si>
  <si>
    <t>00001346 CHAPA MADEIRA COMPENSADA PLASTIFICADA 2,2 X 1,1M X 10MM P/ FORMA CONCRETO M2 17,79</t>
  </si>
  <si>
    <t>00005066 PREGO POLIDO COM CABECA 12 X 12 KG 7,80</t>
  </si>
  <si>
    <t>00007155 TELA ACO SOLDADA NERVURADA CA-60, Q-138, (2,20KG/M2), DIÂMETRO DO FIO =4,2MM, LARGURA=2,45 X 120M</t>
  </si>
  <si>
    <t>Cimento</t>
  </si>
  <si>
    <t>PORCELANATO POLIDO EXTRA 40 X 40 CM</t>
  </si>
  <si>
    <t>BANCADA DE CONCRETO ARMADO, 2.65x0.60M, COM DUAS CUBAS DE AÇO INOX, REVESTIDO COM PORCELANATO POLIDO 60X60CM, JUNTA 2MM.</t>
  </si>
  <si>
    <t>BANCADA DE CONCRETO ARMADO, 3.60x0.60M, COM QUATRO CUBAS DE AÇO INOX, REVESTIDO COM PORCELANATO POLIDO 60X60CM, JUNTA 2MM.</t>
  </si>
  <si>
    <t>PECA DE MADEIRA NATIVA / REGIONAL 7,5 X 7,5CM (3X3) NAO APARELHADA</t>
  </si>
  <si>
    <t>PECA DE MADEIRANATIVA/REGIONAL 2,5 X 10CM (1X4") NAO APARELHADA</t>
  </si>
  <si>
    <t>TABUA MADEIRA 2A QUALIDADE 2,5 X 30,0CM (1 X 12") NAO APARELHADA</t>
  </si>
  <si>
    <t>l</t>
  </si>
  <si>
    <t xml:space="preserve">PREGO DE ACO </t>
  </si>
  <si>
    <t>TABUA MADEIRA 3</t>
  </si>
  <si>
    <t>74141/002</t>
  </si>
  <si>
    <t>LAJE PRE-MOLD BETA 12 P/3,5KN/M2 VAO 4,1M INCL VIGOTAS TIJOLOSARMADU-RA NEGATIVA CAPEAMENTO 3CM CONCRETO 15MPA MATERIAIS E MAO DE OBRA.ESCORAMENTO</t>
  </si>
  <si>
    <t>74141/003</t>
  </si>
  <si>
    <t>LAJE PRE-MOLD BETA 16 P/3,5KN/M2 VAO 5,2M INCL VIGOTAS TIJOLOSARMADU-RA NEGATIVA CAPEAMENTO 3CM CONCRETO 15MPA MATERIAIS E MAO DE OBRA.ESCORAMENTO</t>
  </si>
  <si>
    <t>ARGAMASSA</t>
  </si>
  <si>
    <t>ELEMENTO COBOGÓ CONCRETO</t>
  </si>
  <si>
    <t xml:space="preserve">TIJOLO CERAMICO FURADO 8 FUROS 9 X 19 X 19CM </t>
  </si>
  <si>
    <t>MIL</t>
  </si>
  <si>
    <t>AÇO</t>
  </si>
  <si>
    <t>RESINA</t>
  </si>
  <si>
    <t>COMP.01</t>
  </si>
  <si>
    <t>COMP.02</t>
  </si>
  <si>
    <t>COMP.03</t>
  </si>
  <si>
    <t>PARAFUSO</t>
  </si>
  <si>
    <t>UM</t>
  </si>
  <si>
    <t>REJUNTE COLORIDO</t>
  </si>
  <si>
    <t>ADESIVO EPOXI</t>
  </si>
  <si>
    <t>TE PVC SOLD C/ ROSCA MET.25X25X1/2"</t>
  </si>
  <si>
    <t>TE PVC SOLD C/ ROSCA MET.25X25X3/4"</t>
  </si>
  <si>
    <t>COMP.               72786</t>
  </si>
  <si>
    <t>ESTOPA</t>
  </si>
  <si>
    <t>ENGATE OU RABICHO FLEXIVEL EM METAL CROMADO 1/2" x 30CM</t>
  </si>
  <si>
    <t>Comp.14</t>
  </si>
  <si>
    <t>Comp.   86889</t>
  </si>
  <si>
    <t>ARGAMASSA TRACO 1:3 (CIMENTO E AREIA GROSSA NAO PENEIRADA), PREPARO M M3 342,83</t>
  </si>
  <si>
    <t>CIMENTO BRANCO</t>
  </si>
  <si>
    <t>PPARAFUSOS</t>
  </si>
  <si>
    <t xml:space="preserve">TANQUE DE LOUÇA BRANCA SUSPENSO, 18L </t>
  </si>
  <si>
    <t>FITA</t>
  </si>
  <si>
    <t>VALVULA</t>
  </si>
  <si>
    <t>SIFÃO</t>
  </si>
  <si>
    <t>TORNEIRA</t>
  </si>
  <si>
    <t>Comp. 18</t>
  </si>
  <si>
    <t>Comp. 19</t>
  </si>
  <si>
    <t>CAIXA SIFONADA PVC 100 X 100 X 50MM C/ GRELHA REDONDA BRANCA</t>
  </si>
  <si>
    <t>CAIXA SIFONADA PVC 150 X 185 X 75MM C/ GRELHA QUADRADA BRANCA</t>
  </si>
  <si>
    <t>CAIXA SIFONADA EM PVC 150X185X75MM SIMPLES - FORNECIMENTO E INSTALAÇÃO</t>
  </si>
  <si>
    <t>RALO SIFONADO PVC QUADRADO 100X100X53MM SAIDA 40MM C/GRELHA BRANCA</t>
  </si>
  <si>
    <t>RALO SIFONADO DE PVC 100X100MM SIMPLES - FORNECIMENTO E INSTALACAO</t>
  </si>
  <si>
    <t>JOELHO PVC SOLD 45G PB P/ ESG PREDIAL DN 100MM</t>
  </si>
  <si>
    <t>um</t>
  </si>
  <si>
    <t>JOELHO PVC 45º ESGOTO 100MM - FORNECIMENTO E INSTALACAO</t>
  </si>
  <si>
    <t>CURVA PVC LONGA 45G P/ ESG PREDIAL DN 50MM</t>
  </si>
  <si>
    <t>CURVA PVC LONGA 45º ESGOTO 50MM - FORNECIMENTO E INSTALACAO</t>
  </si>
  <si>
    <t>CURVA PVC CURTA 90º ESGOTO 50MM - FORNECIMENTO E INSTALACAO</t>
  </si>
  <si>
    <t>CURVA PVC 90G CURTA PVC P/ ESG PREDIAL DN 50MM</t>
  </si>
  <si>
    <t>CURVA PVC CURTA 90º ESGOTO 40MM - FORNECIMENTO E INSTALACAO</t>
  </si>
  <si>
    <t>CURVA PVC 90G CURTA PVC P/ ESG PREDIAL DN 40 MM</t>
  </si>
  <si>
    <t>JOELHO PVC 45º ESGOTO 75MM - FORNECIMENTO E INSTALACAO</t>
  </si>
  <si>
    <t>00003519 JOELHO PVC SOLD 45G PB P/ ESG PREDIAL DN 75MM UN 3,53</t>
  </si>
  <si>
    <t>JOELHO PVC 45º ESGOTO 50MM - FORNECIMENTO E INSTALACAO</t>
  </si>
  <si>
    <t>00003518 JOELHO PVC SOLD 45G PB P/ ESG PREDIAL DN 50MM UN 1,62</t>
  </si>
  <si>
    <t>72559 JOELHO PVC 45º ESGOTO 40MM - FORNECIMENTO E INSTALACAO UN 9,37</t>
  </si>
  <si>
    <t>00003516 JOELHO PVC SOLD 45G BB P/ ESG PREDIAL DN 40MM UN 0,97</t>
  </si>
  <si>
    <t>72556 JOELHO PVC 90º ESGOTO 100MM - FORNECIMENTO E INSTALACAO UN 19,43</t>
  </si>
  <si>
    <t>72560 JOELHO PVC 90º ESGOTO 50MM - FORNECIMENTO E INSTALACAO UN 10,53</t>
  </si>
  <si>
    <t>72558 JOELHO PVC 90º ESGOTO 40MM - FORNECIMENTO E INSTALACAO UN 9,23</t>
  </si>
  <si>
    <t>00003517 JOELHO PVC SOLD 90G BB P/ ESG PREDIAL DN 40MM UN 0,83</t>
  </si>
  <si>
    <t>00003660 JUNCAO SIMPLES PVC P/ ESG PREDIAL DN 100X75MM UN 10,64</t>
  </si>
  <si>
    <t>00003670 JUNCAO SIMPLES PVC P/ ESG PREDIAL DN 100X100MM UN 10,24</t>
  </si>
  <si>
    <t>00003662 JUNCAO SIMPLES PVC P/ ESG PREDIAL DN 50X50MM UN 3,89</t>
  </si>
  <si>
    <t>00003661 JUNCAO SIMPLES PVC P/ ESG PREDIAL DN 75X50MM UN 6,09</t>
  </si>
  <si>
    <t>00020043 REDUCAO EXCENTRICA PVC P/ ESG PREDIAL DN 100 X 50MM UN 3,32</t>
  </si>
  <si>
    <t>REDUÇÃO EXCENTRICA PVC ESGOTO DN=100X50MM</t>
  </si>
  <si>
    <t>COMP. 22</t>
  </si>
  <si>
    <t>REDUÇÃO EXCENTRICA PVC ESGOTO DN=100X75MM</t>
  </si>
  <si>
    <t>00020044 REDUCAO EXCENTRICA PVC P/ ESG PREDIAL DN 100 X 75MM UN 4,05</t>
  </si>
  <si>
    <t>COMP. 23</t>
  </si>
  <si>
    <t>REDUÇÃO EXCENTRICA PVC ESGOTO DN=75X50MM</t>
  </si>
  <si>
    <t>00020042 REDUCAO EXCENTRICA PVC P/ ESG PREDIAL DN 75 X 50MM UN 3,05</t>
  </si>
  <si>
    <t>83706 TUBO PVC PONTA/BOLSA C/VIROLA DN=150MM P/ ESGOTO JUNTA C/ ANEL M 46,37</t>
  </si>
  <si>
    <t>00000305 ANEL BORRACHA P/ TUBO PVC REDE ESGOTO EB 644 DN 150MM UN 5,20</t>
  </si>
  <si>
    <t>00020079 PASTA LUBRIFICANTE PARA TUBOS DE PVC C/ ANEL DE BORRACHA ( POTE 5000G) UN 234,66</t>
  </si>
  <si>
    <t>85123 TUBO PVC PONTA/BOLSA C/ VIROLA DN=100MM P/ ESGOTO JUNTA COM ANEL - FOR M 25,96</t>
  </si>
  <si>
    <t>00000301 ANEL DE BORRACHA PARA TUBO DE ESGOTO PREDIAL, DN = 100 MM (NBR 5688) UN 1,30</t>
  </si>
  <si>
    <t>00009836 TUBO PVC SERIE NORMAL - ESGOTO PREDIAL DN 100MM - NBR 5688 M 6,83</t>
  </si>
  <si>
    <t>COMP.      74165/001</t>
  </si>
  <si>
    <t>TUBO PVC ESGOTO JS PREDIAL DN 40MM, SEM CONEXOES - FORNECIMENTO</t>
  </si>
  <si>
    <t>COMP.      74165/002</t>
  </si>
  <si>
    <t>TUBO PVC ESGOTO JS PREDIAL DN 50MM, SEM CONEXOES - FORNECIMENTO</t>
  </si>
  <si>
    <t>COMP.      74165/003</t>
  </si>
  <si>
    <t>TUBO PVC ESGOTO JS PREDIAL DN 75MM, SEM CONEXOES - FORNECIMENTO</t>
  </si>
  <si>
    <t>00009837 TUBO PVC SERIE NORMAL - ESGOTO PREDIAL DN 75MM - NBR 5688 M 5,64</t>
  </si>
  <si>
    <t>00000296 ANEL BORRACHA P/ TUBO ESGOTO PREDIAL EB 608 DN 50MM UN 0,71</t>
  </si>
  <si>
    <t>00000297 ANEL BORRACHA P/ TUBO ESGOTO PREDIAL EB 608 DN 75MM UN 0,91</t>
  </si>
  <si>
    <t>00020078 PASTA LUBRIFICANTE PARA TUBOS DE PVC C/ ANEL DE BORRACHA ( POTE 500G) UN 25,41</t>
  </si>
  <si>
    <t>00007097 TE SANITARIO PVC P/ ESG PREDIAL DN 50 X 50MM UN 3,61</t>
  </si>
  <si>
    <t>72543 CURVA PVC LONGA 45º ESGOTO 100MM - FORNECIMENTO E INSTALACAO</t>
  </si>
  <si>
    <t>00001965 CURVA PVC LONGA 45G P/ ESG PREDIAL DN 100MM UN 26,65</t>
  </si>
  <si>
    <t>72541 CURVA PVC CURTA 90º ESGOTO 100MM - FORNECIMENTO E INSTALACAO UN 22,13</t>
  </si>
  <si>
    <t>00001966 CURVA PVC 90G CURTA PVC P/ ESG PREDIAL DN 100MM UN 13,72</t>
  </si>
  <si>
    <t>00003899 LUVA SIMPLES PVC P/ ESG PREDIAL DN 100MM UN 3,45</t>
  </si>
  <si>
    <t>72460 TE SANITARIO 100X100MM, COM ANEIS - FORNECIMENTO E INSTALACAO UN 30,44</t>
  </si>
  <si>
    <t>00007091 TE SANITARIO PVC P/ ESG PREDIAL DN 100 X 100MM UN 9,18</t>
  </si>
  <si>
    <t>00001872 CAIXA PVC 4" X 2" P/ ELETRODUTO " UN 1,38</t>
  </si>
  <si>
    <t>83386 CAIXA DE PASSAGEM PVC 4X4" - FORNECIMENTO E INSTALACAO UN 6,94</t>
  </si>
  <si>
    <t>00001873 CAIXA PVC 4" X 4" P/ ELETRODUTO " UN 2,19</t>
  </si>
  <si>
    <t>00001871 CAIXA PVC OCTOGONAL 3" X 3" UN 3,75</t>
  </si>
  <si>
    <t>72934 ELETRODUTO DE PVC FLEXIVEL CORRUGADO DN 20MM (3/4") FORNECIMENTO E INS M 4,85</t>
  </si>
  <si>
    <t>73798/001</t>
  </si>
  <si>
    <t>00002446 ELETRODUTO 2" TIPO KANALEX OU EQUIV M 6,26</t>
  </si>
  <si>
    <t>74130/005</t>
  </si>
  <si>
    <t>74130/005 DISJUNTOR TERMOMAGNETICO TRIPOLAR PADRAO NEMA (AMERICANO) 60 A 100A 24 UN 94,67</t>
  </si>
  <si>
    <t>73860/009</t>
  </si>
  <si>
    <t>00000981 CABO DE COBRE ISOLAMENTO ANTI-CHAMA 450/750V 4MM2, FLEXIVEL, TP FORESPLAST ALCOA OU EQUIV M 2,43</t>
  </si>
  <si>
    <t>73860/010</t>
  </si>
  <si>
    <t>73860/009 CABO DE COBRE ISOLADO PVC 450/750V 4MM2 RESISTENTE A CHAMA - FORNECIME M 4,35</t>
  </si>
  <si>
    <t>73860/010 CABO DE COBRE ISOLADO PVC 450/750V 6MM2 RESISTENTE A CHAMA - FORNECIME M 5,85</t>
  </si>
  <si>
    <t>00000982 CABO DE COBRE ISOLAMENTO ANTI-CHAMA 450/750V 6MM2, FLEXIVEL, TP FORESPLAST ALCOA OU EQUIV M 3,64</t>
  </si>
  <si>
    <t>73860/011</t>
  </si>
  <si>
    <t>73860/011 CABO DE COBRE ISOLADO PVC 450/750V 10MM2 RESISTENTE A CHAMA - FORNECIM M 8,91</t>
  </si>
  <si>
    <t>00000980 CABO DE COBRE ISOLAMENTO ANTI-CHAMA 450/750V 10MM2, FLEXIVEL, TP FORESPLAST ALCOA OU EQUIV M 6,40</t>
  </si>
  <si>
    <t>73860/012</t>
  </si>
  <si>
    <t>73860/012 CABO DE COBRE ISOLADO PVC 450/750V 16MM2 RESISTENTE A CHAMA - FORNECIM M 10,24</t>
  </si>
  <si>
    <t>00000979 CABO DE COBRE FLEXÍVEL DE 16 MM2, COM ISOLAMENTO ANTI-CHAMA 450/750 V M 7,41</t>
  </si>
  <si>
    <t>00007529 TOMADA EMBUTIR 2P + T 15A/250V C/PLACA, TIPO SILENTOQUE OU EQUIV UN 12,86</t>
  </si>
  <si>
    <t>74131/007</t>
  </si>
  <si>
    <t>00005097 QUADRO DE DISTRIBUICAO DE EMBUTIR C/ BARRAMENTO TRIFASICO P/ 40 DISJUNTORES UNIPOLARES EM CHAPA UN 452,75</t>
  </si>
  <si>
    <t>74131/008</t>
  </si>
  <si>
    <t>00012043 QUADRO DE DISTRIBUICAO DE EMBUTIR C/ BARRAMENTO TRIFASICO P/ 50 DISJUNTORES UNIPOLARES EM CHAPA UN 669,13</t>
  </si>
  <si>
    <t>00007563 INTERRUPTOR PARALELO EMBUTIR 10A/250V S/ PLACA, TIPO SILENTOQUE PIAL OU EQUIV UN 5,19</t>
  </si>
  <si>
    <t>73953/006</t>
  </si>
  <si>
    <t>73953/006 LUMINARIA TIPO CALHA, DE SOBREPOR, COM REATOR DE PARTIDA RAPIDA E LAMPADA FLUORESCENTE 2X40W, COMPLETA, FORNECIMENTO E INSTALACAO UN 94,41</t>
  </si>
  <si>
    <t>73953/008</t>
  </si>
  <si>
    <t xml:space="preserve"> LUMINARIA TIPO CALHA, DE SOBREPOR, COM REATOR DE PARTIDA RAPIDA E LAMPADA FLUORESCENTE 4X40W, COMPLETA, FORNECIMENTO E INSTALACAO UN 158,71</t>
  </si>
  <si>
    <t>00003784 LUMINARIA CALHA SOBREPOR EM CHAPA ACO C/ 4 LAMPADAS FLUORESCENTES 40W (COMPLETA, INCL. REATOR UN 116,23</t>
  </si>
  <si>
    <t>74041/002</t>
  </si>
  <si>
    <t>00003763 LAMPADA INCANDESCENTE 100W UN 1,39</t>
  </si>
  <si>
    <t>74209/001</t>
  </si>
  <si>
    <t>5652 CONCRETO NAO ESTRUTURAL, CONSUMO 150KG/M3, PREPARO COM BETONEIRA, SEM M3 273,69</t>
  </si>
  <si>
    <t>00004417 PECA DE MADEIRA DE LEI *2,5 X 7,5* CM (1" X 3"), NÃO APARELHADA, (P/TELHADO) M 3,12</t>
  </si>
  <si>
    <t>00004491 PECA DE MADEIRA NATIVA / REGIONAL 7,5 X 7,5CM (3X3) NAO APARELHADA (P/FORMA) M 2,61</t>
  </si>
  <si>
    <t>00005075 PREGO POLIDO COM CABECA 18 X 30 KG 7,21</t>
  </si>
  <si>
    <t>00003767 LIXA P/ PAREDE OU MADEIRA UN 0,79</t>
  </si>
  <si>
    <t>JOELHO 45º PP DURATOP ESGOTO 40MM - FORNECIMENTO E INSTALACAO</t>
  </si>
  <si>
    <t>Comp.                 72559</t>
  </si>
  <si>
    <t>Comp.                     72556</t>
  </si>
  <si>
    <t>JOELHO 87 30 PP DURATOP ESGOTO 110MM - FORNECIMENTO E INSTALACAO</t>
  </si>
  <si>
    <t>JOELHO 87 30 PP DURATOP ESGOTO 40MM - FORNECIMENTO E INSTALACAO</t>
  </si>
  <si>
    <t>Comp.                      72558</t>
  </si>
  <si>
    <t>JUNCAO 45 PP DURATOP ESGOTO 75X75MM - FORNECIMENTO E INSTALACAO</t>
  </si>
  <si>
    <t>Comp.                 72605</t>
  </si>
  <si>
    <t>JUNCAO 45 PP DURATOP ESGOTO 40X40MM - FORNECIMENTO E INSTALACAO</t>
  </si>
  <si>
    <t>Comp.                72604A</t>
  </si>
  <si>
    <t>Comp.                  72775</t>
  </si>
  <si>
    <t>JUNCAO DE REDUÇÃO 45 PP DURATOP ESGOTO 110X75MM - FORNECIMENTO E INSTALACAO</t>
  </si>
  <si>
    <t>REDUÇÃO EXCÊNTRICA PP DURATOP ESGOTO 110 X 75MM - FORNECIMENTO E INSTALAÇÃO</t>
  </si>
  <si>
    <t>TUBO DE POLIPROPILENO PP DURATOP 40X1,80MM - FORNECIMENTO E INSTALAÇÃO</t>
  </si>
  <si>
    <t>TUBO DE POLIETILENO PP DURATOP 40X1,80MM-BR 4,00M</t>
  </si>
  <si>
    <t>TUBO DE POLIPROPILENO PP DURATOP 50X1,80MM - FORNECIMENTO E INSTALAÇÃO</t>
  </si>
  <si>
    <t>TUBO DE POLIETILENO PP DURATOP 50X1,80MM-BR 4,00M</t>
  </si>
  <si>
    <t>Comp.                  72462</t>
  </si>
  <si>
    <t>TE 87 30 PP DURATOP 110X75MM - FORNECIMENTO E INSTALAÇÃO</t>
  </si>
  <si>
    <t xml:space="preserve">TE 87 30 PPDURATOP ESGOTO DN 110X75MM </t>
  </si>
  <si>
    <t>CAP PP DURATOP ESGOTO 110MM - FORNECIMENTO E INSTALAÇÃO</t>
  </si>
  <si>
    <t>COBERTURA COM TELHAS DE ACO ZINCADO, TRAPEZOIDAL, TERMOACÚSTICAS ESPESSURA DE 0,5 MM, COM ISOLAMENTO DE POLIESTIRENO COM ESPESSURA DE 50MM, PINTADAS NA COR A SER ESCOLHIDA PELO IFC, INCLUINDO ACESSORIOS.</t>
  </si>
  <si>
    <t>00006189 TABUA MADEIRA 2A QUALIDADE 2,5 X 30,0CM (1 X 12") NAO APARELHADA M 9,08</t>
  </si>
  <si>
    <t>CARPINTEIRO DE FORMAS COM ENCARGOS COMPLEMENTARES</t>
  </si>
  <si>
    <t>SERVENTE COM ENCARGOS COMPLEMENTARES</t>
  </si>
  <si>
    <t>74209/001 PLACA DE OBRA EM CHAPA DE ACO GALVANIZADO</t>
  </si>
  <si>
    <t>00004813 PLACA DE OBRA (PARA CONSTRUCAO CIVIL) EM CHAPA GALVANIZADA *Nº 22*, PINTADA, DE *2,0 X 1,0* M, S</t>
  </si>
  <si>
    <t>73847/002 ALUGUEL CONTAINER/ESCRIT/WC C/1 VASO/1 LAV/1 MIC/4 CHUV LARG=2,20M COMPR=6,20M ALT=2,50M CHAPA ACO NERV TRAPEZ FORROC/ISOL TERMO-ACUST CHASSIS REFORC PISO COMPENS NAVAL INCL INST MES 529,61</t>
  </si>
  <si>
    <t>00007608 CHUVEIRO PLASTICO BRANCO SIMPLES 5'' - AGUA FRIA - PARA ACOPLAR EM HASTE 1/2' UN 6,03</t>
  </si>
  <si>
    <t>00010420 BACIA SANITARIA (VASO) CONVENCIONAL DE LOUCA BRANCA UN 105,76</t>
  </si>
  <si>
    <t>00010425 LAVATORIO LOUCA BRANCA SUSPENSO 29,5 X 39,0CM OU EQUIV-PADRAO POPULAR UN 47,48</t>
  </si>
  <si>
    <t>00010432 MICTORIO SIFONADO LOUCA BRANCA C/PERTENCES UN 156,51</t>
  </si>
  <si>
    <t>00010775 CONTAINER DE 2,20 X 6,20 M, PARA ESCRITORIO, COMPLETO (COM BANHEIRO) (LOCACAO) MES 496,23</t>
  </si>
  <si>
    <t>mês</t>
  </si>
  <si>
    <t>73847/002</t>
  </si>
  <si>
    <t>CÓDIGO (SINAP JUNHO/2014-SC)</t>
  </si>
  <si>
    <t>SERVIÇOS PRELIMINARES</t>
  </si>
  <si>
    <t>INFRA-ESTRUTURA</t>
  </si>
  <si>
    <t>AJUDANTE DE CARPINTEIRO COM ENCARGOS COMPLEMENTARES</t>
  </si>
  <si>
    <t>ARMADOR COM ENCARGOS COMPLEMENTARES</t>
  </si>
  <si>
    <t>73964/006</t>
  </si>
  <si>
    <t xml:space="preserve">73964/006 REATERRO DE VALA COM COMPACTAÇÃO MANUAL </t>
  </si>
  <si>
    <t>00001525 CONCRETO USINADO BOMBEAVEL COM BRITA 0 E 1, SLUMP = 100 MM +/- 20 MM, FCK = 30 MPA (INCLUI SERVICO DE BOMBEAMENTO M3 296,23</t>
  </si>
  <si>
    <t>00010485 VIBRADOR DE IMERSAO C/ MOTOR ELETRICO 2HP MONOFASICO QUALQUER DIAM C/ MANGOTE H 0,97</t>
  </si>
  <si>
    <t>PEDREIRO COM ENCARGOS COMPLEMENTARES</t>
  </si>
  <si>
    <t xml:space="preserve">74115/001 EXECUÇÃO DE LASTRO EM CONCRETO (1:2,5:6), PREPARO MANUAL </t>
  </si>
  <si>
    <t>00000029 ACO CA-50, 20,0 MM, VERGALHAO KG 3,70</t>
  </si>
  <si>
    <t>00000034 ACO CA-50, 10,0 MM, VERGALHAO KG 3,98</t>
  </si>
  <si>
    <t>SUPERESTRUTURA</t>
  </si>
  <si>
    <t>00002692 DESMOLDANTE PARA FORMA DE MADEIRA L 9,16</t>
  </si>
  <si>
    <t>00004506 PECA DE MADEIRANATIVA/REGIONAL 2,5 X 10CM (1X4") NAO APARELHADA (SARRAFO P/FORMA) M 1,62</t>
  </si>
  <si>
    <t>LAJE PRE-MOLDADA DE PISO CONVENCIONAL SOBRECARGA 350KG/M2 VAO ATE 3,50M M2 29,12</t>
  </si>
  <si>
    <t>PECA DE MADEIRA NATIVA / REGIONAL 7,5 X 7,5CM (3X3) NAO APARELHADA (P/FORMA) M 2,61</t>
  </si>
  <si>
    <t>PREGO POLIDO COM CABECA 18 X 30 KG 7,21</t>
  </si>
  <si>
    <t>TABUA MADEIRA 2A QUALIDADE 2,5 X 30,0CM (1 X 12") NAO APARELHADA M 9,08</t>
  </si>
  <si>
    <t>CONCRETO FCK=15MPA, PREPARO COM BETONEIRA, SEM LANCAMENTO M3 362,32</t>
  </si>
  <si>
    <t>LANCAMENTO/APLICACAO MANUAL DE CONCRETO EM ESTRUTURAS M3 90,74</t>
  </si>
  <si>
    <t>ALVENARIA DE VEDAÇÃO DE BLOCOS CERÂMICOS FURADOS NA HORIZONTAL DE 9X19X19CM (ESPESSURA 9CM) DE PAREDES COM ÁREA LÍQUIDA MAIOR OU IGUAL A 6M² COM VÃOS E ARGAMASSA DE ASSENTAMENTO COM PREPARO EM BETONEIRA. M2 57,20</t>
  </si>
  <si>
    <t>COMP.                 87519</t>
  </si>
  <si>
    <t>ALVENARIA DE VEDAÇÃO DE BLOCOS CERÂMICOS FURADOS NA HORIZONTAL DE 19X9X19CM (ESPESSURA 19CM) DE PAREDES COM ÁREA LÍQUIDA MAIOR OU IGUAL A 6M² COM VÃOS E ARGAMASSA DE ASSENTAMENTO COM PREPARO EM BETONEIRA.</t>
  </si>
  <si>
    <t>ARGAMASSA TRAÇO 1:2:8 (CIMENTO, CAL E AREIA MÉDIA) PARA EMBOÇO/MASSA Ú M3 412,17</t>
  </si>
  <si>
    <t>TIJOLO CERAMICO MACICO 5 X 10 X 20CM UN 0,45</t>
  </si>
  <si>
    <t>COBOGO DE CONCRETO (ELEMENTO VAZADO), 7X50X50CM, ASSENTADO COM ARGAMASSA TRACO 1:4 (CIMENTO E AREIA)</t>
  </si>
  <si>
    <t>FECHADURA DE EMBUTIR COMPLETA, PARA PORTAS DE BANHEIRO, PADRAO DE ACABAMENTO SUPERIOR</t>
  </si>
  <si>
    <t>Comp. 4</t>
  </si>
  <si>
    <t>Comp.  5</t>
  </si>
  <si>
    <t>Comp.  6</t>
  </si>
  <si>
    <t>J03 - JANELA TIPO MAXIM-AR 4 FOLHAS, 4,00X0,80M,  EM ALUMINIO</t>
  </si>
  <si>
    <t>Comp.  7</t>
  </si>
  <si>
    <t>J04 - JANELA TIPO MAXIM-AR, 2.50X1,20M,  EM ALUMINIO</t>
  </si>
  <si>
    <t>Comp.  8</t>
  </si>
  <si>
    <t>J05 - JANELA TIPO MAXIM-AR, 4,00X1,20M,  EM ALUMINIO</t>
  </si>
  <si>
    <t>Comp.  9</t>
  </si>
  <si>
    <t>J06 - JANELA TIPO MAXIM-AR, 1,50X1,20M,  EM ALUMINIO</t>
  </si>
  <si>
    <t>Comp.           85010</t>
  </si>
  <si>
    <t>PORTA DE ABRIR EM ALUMINIO ANODIZADO NATURAL TIPO VENEZIANA, 2,00X1,50 M, COM GUARNICOES, PARA ABRIGO  DE GÁS.</t>
  </si>
  <si>
    <t>PORTA DE ABRIR EM ALUMINIO ANODIZADO NATURAL TIPO VENEZIANA, 1,00X1,04 M, COM GUARNICOES, PARA ABRIGO  DE GÁS.</t>
  </si>
  <si>
    <t>SERRALHEIRO COM ENCARGOS COMPLEMENTARES</t>
  </si>
  <si>
    <t>Comp. 10</t>
  </si>
  <si>
    <t>COMP.  11</t>
  </si>
  <si>
    <t xml:space="preserve">ESTRUTURA COM PERFÍS DE AÇO ASTM 709 A 588 (RESISTENTE À CORROSÃO) PARA COBERTURA DO CORREDOR DE ACESSO AO DEPÓSITO E ENTRADA PRINCIPAL, INCLUINDO PINTURA </t>
  </si>
  <si>
    <t>Comp. 12</t>
  </si>
  <si>
    <t>Comp.  13</t>
  </si>
  <si>
    <t>VIDRACEIRO COM ENCARGOS COMPLEMENTARES</t>
  </si>
  <si>
    <t>CHAPISCO APLICADO NO TETO, COM ROLO PARA TEXTURA ACRÍLICA. ARGAMASSA TRAÇO 1:4 E EMULSÃO POLIMÉRICA (ADESIVO) COM PREPARO MANUAL. M2 3,45</t>
  </si>
  <si>
    <t>AZULEJISTA OU LADRILHISTA COM ENCARGOS COMPLEMENTARES</t>
  </si>
  <si>
    <t>EMBOÇO OU MASSA ÚNICA EM ARGAMASSA TRAÇO 1:2:8, PREPARO MECÂNICO COM BETONEIRA 400 L, APLICADA MANUALMENTE EM PANOS DE FACHADA COM PRESENÇA DE VÃOS, ESPESSURA DE 25 MM.M2 35,97</t>
  </si>
  <si>
    <t>00037631 TELA METALICA ELETROSSOLDADA GALVANIZADA SEMIRRIGIDA, MALHA 25X25 MM, FIO DIAMETRO 1,24 MM (BWG 18)</t>
  </si>
  <si>
    <t>CONTRAPISO EM ARGAMASSA TRAÇO 1:4 (CIMENTO E AREIA), PREPARO MECÂNICO COM BETONEIRA 400 L, APLICADO EM ÁREAS SECAS MAIORES QUE 10M2 SOBRE LAJE, ADERIDO, ESPESSURA 3CM, ACABAMENTO REFORÇADO.</t>
  </si>
  <si>
    <t>ENCANADOR OU BOMBEIRO HIDRÁULICO COM ENCARGOS COMPLEMENTARES</t>
  </si>
  <si>
    <t>AUXILIAR DE ENCANADOR OU BOMBEIRO HIDRÁULICO COM ENCARGOS</t>
  </si>
  <si>
    <t>COMPLEMENTARES</t>
  </si>
  <si>
    <t>00000096 ADAPTADOR PVC SOLDAVEL C/ FLANGES E ANEL DE VEDACAO P/ CAIXA D' AGUA 25MM X 3/4" UN 7,35</t>
  </si>
  <si>
    <t xml:space="preserve">00003540 JOELHO PVC SOLD 90G P/AGUA FRIA PREDIAL 50 MM </t>
  </si>
  <si>
    <t xml:space="preserve">00003536 JOELHO PVC SOLD 90G P/AGUA FRIA PREDIAL 32 MM </t>
  </si>
  <si>
    <t xml:space="preserve">00001927 CURVA PVC SOLD 45G P/ AGUA FRIA PREDIAL 25 MM </t>
  </si>
  <si>
    <t>JOELHO REDUCAO 90G PVC SOLD P/AGUA FRIA PREDIAL 32 MM X 25 MM</t>
  </si>
  <si>
    <t xml:space="preserve">00006010 REGISTRO GAVETA 1.1/2" BRUTO LATAO REF 1502-B </t>
  </si>
  <si>
    <t xml:space="preserve">00006013 REGISTRO GAVETA 1" REF 1509-C - C/ CANOPLA ACAB CROMADO SIMPLES </t>
  </si>
  <si>
    <t>13.38</t>
  </si>
  <si>
    <t>13.39</t>
  </si>
  <si>
    <t>13.40</t>
  </si>
  <si>
    <t>INSTALAÇÕES HIDRÁULICAS - APARELHOS E ACESSÓRIOS</t>
  </si>
  <si>
    <t xml:space="preserve">MICTORIO SIFONADO DE LOUCA BRANCA COM PERTENCES, COM REGISTRO DE PRESSAO 1/2" COM CANOPLA CROMADA ACABAMENTO SIMPLES E CONJUNTO PARA FIXACAO </t>
  </si>
  <si>
    <t>Comp.15</t>
  </si>
  <si>
    <t>Comp. 16</t>
  </si>
  <si>
    <t>Comp.17</t>
  </si>
  <si>
    <t>VALVULA DESCARGA 1.1/2" COM REGISTRO, ACABAMENTO EM METAL CROMADO - FORNECIMENTO E INSTALAÇÃO</t>
  </si>
  <si>
    <t>AJUDANTE DE PEDREIRO COM ENCARGOS COMPLEMENTARES</t>
  </si>
  <si>
    <t>00000013 ESTOPA KG 6,06</t>
  </si>
  <si>
    <t>00007307 FUNDO ANTICORROSIVO TIPO ZARCAO OU EQUIV L 17,51</t>
  </si>
  <si>
    <t xml:space="preserve">00010228 VÁLVULA DE DESCARGA DE *1 1/2"* COM REGISTRO E ACABAMENTO EM METAL CROMADO </t>
  </si>
  <si>
    <t>VÁLVULA EM PLÁSTICO 1" PARA PIA, TANQUE OU LAVATÓRIO, COM OU SEM LADRÃ UN 4,56</t>
  </si>
  <si>
    <t>SIFÃO DO TIPO GARRAFA EM PVC 1.1/4" - FORNECIMENTO E INSTALAÇÃO. AF_12 UN 10,06</t>
  </si>
  <si>
    <t>TORNEIRA CROMADA 1/2" OU 3/4" PARA TANQUE, PADRÃO POPULAR - FORNECIMEN UN 20,75</t>
  </si>
  <si>
    <t xml:space="preserve">00006141 ENGATE OU RABICHO FLEXIVEL PLASTICO (PVC OU ABS) BRANCO 1/2" X 30CM </t>
  </si>
  <si>
    <t>Comp. 20</t>
  </si>
  <si>
    <t>Comp. 21</t>
  </si>
  <si>
    <t>Cot.</t>
  </si>
  <si>
    <t xml:space="preserve">00004384 PARAFUSO NIQUELADO P/ FIXAR PECA SANITARIA - INCL PORCA CEGA, ARRUELA E BUCHA NYLON S-10 </t>
  </si>
  <si>
    <t>CAIXA SIFONADA PVC 150 X 150 X 50MM C/ GRELHA REDONDA BRANCA</t>
  </si>
  <si>
    <t xml:space="preserve">CAIXA SIFONADA PVC 150X150X50MM COM GRELHA REDONDA BRANCA - FORNECIMENTO E INSTALAÇÃO </t>
  </si>
  <si>
    <t>00003520 JOELHO PVC SOLD 90G PB P/ ESG PREDIAL DN 100MM</t>
  </si>
  <si>
    <t xml:space="preserve">00003526 JOELHO PVC SOLD 90G PB P/ ESG PREDIAL DN 50MM </t>
  </si>
  <si>
    <t xml:space="preserve">00013417 TORNEIRA CROMADA MEDIA 1/2" OU 3/4" REF 1143 - PADRAO POPULAR </t>
  </si>
  <si>
    <t xml:space="preserve">00003659 JUNCAO SIMPLES PVC P/ ESG PREDIAL DN 100X50MM </t>
  </si>
  <si>
    <t>COMP. 24</t>
  </si>
  <si>
    <t xml:space="preserve">00009818 TUBO PVC EB-644 P/ REDE COLET ESG JE DN 150MM </t>
  </si>
  <si>
    <t xml:space="preserve">00020079 PASTA LUBRIFICANTE PARA TUBOS DE PVC C/ ANEL DE BORRACHA ( POTE 5000G) </t>
  </si>
  <si>
    <t xml:space="preserve">00011657 TE SANITARIO PVC P/ ESG PREDIAL DN 75X50 MM </t>
  </si>
  <si>
    <t xml:space="preserve">00000297 ANEL BORRACHA P/ TUBO ESGOTO PREDIAL EB 608 DN 75MM </t>
  </si>
  <si>
    <t xml:space="preserve">00000296 ANEL BORRACHA P/ TUBO ESGOTO PREDIAL EB 608 DN 50MM </t>
  </si>
  <si>
    <t xml:space="preserve">00020078 PASTA LUBRIFICANTE PARA TUBOS DE PVC C/ ANEL DE BORRACHA ( POTE 500G) </t>
  </si>
  <si>
    <t>COMP. 25</t>
  </si>
  <si>
    <t>TERMINAL DE VENTILAÇÃO DN=50MM-FORNECIMENTO E INSTALAÇÃO</t>
  </si>
  <si>
    <t>TERMINAL DE VENTILAÇÃO DN=50MM</t>
  </si>
  <si>
    <t xml:space="preserve">Comp. 26                            </t>
  </si>
  <si>
    <t xml:space="preserve"> TABUA MADEIRA 3A QUALIDADE 2,5 X 30CM (1 X 12) NAO APARELHADA </t>
  </si>
  <si>
    <t xml:space="preserve">00006157 VALVULA EM METAL CROMADO TIPO AMERICANA 3.1/2" X 1.1/2" P/ PIA DE COZINHA </t>
  </si>
  <si>
    <t>Comp. 27</t>
  </si>
  <si>
    <t>CAIXA DE GORDURA BITOLA DN100, CORPO DE PVC E TAMPA DE ABS, 2 ENTRADAS DE 75MM, 1 ENTRADA DE 50MM E UMA SAÍDA DE 100MM, NAS DIMENSÕES DE 558X300MM, CAPACIDADE DE 19 LITROS DE GORDURA, DA MARCA TIGRE OU SIMILAR.</t>
  </si>
  <si>
    <t>FOSSA SÉPTICA PARA ESGOTO SANITÁRIO, NAS DIMENSÕES 322X224CM, EM POLIPROPILENO REFORÇADO, COM CAPACIDADE PARA 10.000LITROS.</t>
  </si>
  <si>
    <t>00004752 POCEIRO H 14,41</t>
  </si>
  <si>
    <t>Comp. 28</t>
  </si>
  <si>
    <t>INSTALAÇÕES HIDRÁULICAS - ESGOTO - PP DURATOP</t>
  </si>
  <si>
    <t>INSTALAÇÕES HIDRÁULICAS - ESGOTO</t>
  </si>
  <si>
    <t xml:space="preserve">Comp.  31               </t>
  </si>
  <si>
    <t>Comp. 32</t>
  </si>
  <si>
    <t xml:space="preserve">CAIXA SIFONADA PP DURATOP 150X150X50MM  - FORNECIMENTO E INSTALAÇÃO </t>
  </si>
  <si>
    <t xml:space="preserve">CAIXA SIFONADA PP DURATOP 150 X 150 X 50MM </t>
  </si>
  <si>
    <t>Comp. 33</t>
  </si>
  <si>
    <t xml:space="preserve">CAIXA SIFONADA PP DURATOP 150X185X75MM  - FORNECIMENTO E INSTALAÇÃO </t>
  </si>
  <si>
    <t xml:space="preserve">CAIXA SIFONADA PP DURATOP 150 X 185 X 75MM </t>
  </si>
  <si>
    <t>Comp.  34</t>
  </si>
  <si>
    <t>Comp. 35</t>
  </si>
  <si>
    <t>INSTALAÇÕES HIDRÁULICAS - DRENAGEM DO PISO - SALA DE NECRÓPSIA</t>
  </si>
  <si>
    <t>Comp. 36</t>
  </si>
  <si>
    <t>Comp.  37</t>
  </si>
  <si>
    <t>CISTERNA PARA DEPÓSITO DE APROVEITAMENTO DE ÁGUA PLUVIAL, NAS DIMENSÕES DE 322X224CM, EM POLIETILENO, COM CAPACIDADE DE 10.000LITROS, INCLUINDO FILTRO DÁGUA,2 ELETRONÍVEL, REGISTRO DE ESFERA DIAM=3/4", SIFÃO LADRÃO, FILTRO VF-1 E FREIO DÁGUA.</t>
  </si>
  <si>
    <t>FORNECIMENTO E INSTALACAO DE CONJ.MOTO BOMBA HORIZONTAL KSB MEGANORM 25-150, ROTAÇÃO 1750 RPM, ROTOR 141MM, 0,3CV, C/BASE DE CHAPA PERFILADA.ATE 10 CV</t>
  </si>
  <si>
    <t>Comp. 38</t>
  </si>
  <si>
    <t>Comp.          73836/001</t>
  </si>
  <si>
    <t>MONTADOR COM ENCARGOS COMPLEMENTARES</t>
  </si>
  <si>
    <t>CUSTO HORARIO PRODUTIVO - TALHA MANUAL CHP 0,44</t>
  </si>
  <si>
    <t>CONJ.MOTO BOMBA HORIZONTAL KSB MEGANORM 25-150, ROTAÇÃO 1750 RPM, ROTOR 141MM, 0,3CV, C/BASE DE CHAPA PERFILADA.ATE 10 CV</t>
  </si>
  <si>
    <t>INSTALAÇÃO DE GÁS</t>
  </si>
  <si>
    <t>ABRIGO DE GÁS, COMPLETO, NAS DIMENSÕES DE 1.20X0.70M, CONFORME PROJETO EXECUTIVO.</t>
  </si>
  <si>
    <t>74164/004</t>
  </si>
  <si>
    <t xml:space="preserve">5622 REGULARIZACAO E COMPACTACAO MANUAL DE TERRENO COM SOQUETE </t>
  </si>
  <si>
    <t xml:space="preserve">LASTRO DE BRITA </t>
  </si>
  <si>
    <t>84214 FORMA PARA ESTRUTURAS DE CONCRETO (PILAR, VIGA E LAJE) EM CHAPA DE MADEIRA</t>
  </si>
  <si>
    <t xml:space="preserve">74254/002 ARMACAO ACO CA-50, DIAM. 6,3 (1/4) À 12,5MM(1/2) -FORNECIMENTO/ CORTE( </t>
  </si>
  <si>
    <t xml:space="preserve">72131 ALVENARIA EM TIJOLO CERAMICO MACICO 5X10X20CM 1/2 VEZ (ESPESSURA 10CM) </t>
  </si>
  <si>
    <t>73972/001 CONCRETO FCK=25MPA, VIRADO EM BETONEIRA, SEM LANCAMENTO M3 397,42</t>
  </si>
  <si>
    <t>CHAPISCO TRACO 1:3 (CIMENTO E AREIA GROSSA) ESPESSURA 0,5CM, PREPARO MANUAL</t>
  </si>
  <si>
    <t xml:space="preserve">EMBOCO PAULISTA (MASSA UNICA) TRACO 1:2:8 (CIMENTO, CAL E AREIA MEDIA) </t>
  </si>
  <si>
    <t>MATERIAL</t>
  </si>
  <si>
    <t>TUBULAÇÃO DE GÁS INCLUINDO, MANGUEIRA E REGISTRO.</t>
  </si>
  <si>
    <t>Comp. 39</t>
  </si>
  <si>
    <t>Comp. 40</t>
  </si>
  <si>
    <t xml:space="preserve">00020260 MANGUEIRA P/ GAS 1/2" C/ 1M </t>
  </si>
  <si>
    <t xml:space="preserve">00011756 REGISTRO OU REGULADOR P/ GAS COZINHA MARCA ALIANCA REF 76506/1 </t>
  </si>
  <si>
    <t>PREVENÇÃO DE INCÊNDIO</t>
  </si>
  <si>
    <t>SETOR DE FORMOL</t>
  </si>
  <si>
    <t>TANQUE DE FORMOL INTERNO, EM CONCRETO FCK 30 MPA PARA A BASE E PAREDES, ARMADO COM TELA ELETROSOLDADA Q138, FORMA DE CHAPA PLASTIFICADA E=12MM, INCLUSO REGULARIZAÇÃO DA SUPERFICIE DE CONCRETO.</t>
  </si>
  <si>
    <t>CONCRETO USINADO BOMBEADO FCK=30MPA, INCLUSIVE LANCAMENTO E ADENSAMENT M3 367,94</t>
  </si>
  <si>
    <t>Comp. 41</t>
  </si>
  <si>
    <t>Comp.      73994/001</t>
  </si>
  <si>
    <t>Comp. 42</t>
  </si>
  <si>
    <t>BACIA DE CONTENÇÃO PARA TANQUE DE FORMOL  EXTERNO, EM CONCRETO FCK 30 MPA PARA A BASE E PAREDES, ARMADO COM TELA ELETROSOLDADA Q138, FORMA DE CHAPA PLASTIFICADA E=12MM, INCLUSO REGULARIZAÇÃO DA SUPERFICIE DE CONCRETO.</t>
  </si>
  <si>
    <t>73872/002</t>
  </si>
  <si>
    <t>CONCRETO USINADO BOMBEADO FCK=30MPA, INCLUSIVE LANCAMENTO E ADENSAMENTO</t>
  </si>
  <si>
    <t xml:space="preserve">IMPERMEABILIZACAO COM PINTURA A BASE DE RESINA EPOXI ALCATRAO, DUAS DEMÃOS </t>
  </si>
  <si>
    <t xml:space="preserve">REGULARIZACAO DE SUPERFICIE DE CONC. APARENTE </t>
  </si>
  <si>
    <t>FORMA PARA ESTRUTURAS DE CONCRETO (PILAR, VIGA E LAJE) EM CHAPA DE MADEIRA COMPENSADA PLASTIFICADA, DE 1,10 X 2,20, ESPESSURA = 12 MM, 02 UTILIZACOES. (FABRICACAO, MONTAGEM E DESMONTAGEM - EXCLUSIVE ESCORAMENTO M2 44,94</t>
  </si>
  <si>
    <t>Comp. 43</t>
  </si>
  <si>
    <t>TANQUE PARA ARMAZENAGEM DE FORMOL DESCARTADO, NAS DIMENSÕES 159X220X220CM, EM POLIPROPILENO DE ALTA DENSIDADE, COM CAPACIDADE PARA 5.000LITROS.</t>
  </si>
  <si>
    <t>Comp. 44</t>
  </si>
  <si>
    <t>EXTINTOR DE PQS 4KG - FORNECIMENTO E INSTALACAO</t>
  </si>
  <si>
    <t xml:space="preserve">EXTINTOR INCENDIO TP GAS CARBONICO 4KG COMPLETO - FORNECIMENTO E INSTA </t>
  </si>
  <si>
    <t>PICTOGRAMA  RETANGULAR  "CUIDADO. ABRIGO DE GÁS. PROIBIDO FUMAR" COMP. 0,6M E LARG.0,28M, CONFORME PROJETO PREVENTIVO DE COMBATE A INCÊNDIOS.</t>
  </si>
  <si>
    <t>AJUDANTE GERAL</t>
  </si>
  <si>
    <t>PICTOGRAMA "CUIDADO. ABRIGO DE GÁS. PROIBIDO FUMAR" COMP. 0,6M E LARG.0,28M, CONFORME PROJETO PREVENTIVO DE COMBATE A INCÊNDIOS.</t>
  </si>
  <si>
    <t>PICTOGRAMA PARA EXTINTOR DE INCÊNDIO  - CÍRCULO COM A LETRA "E" NO CENTRO - DIAM=30CM, CONFORME PROJETO PREVENTIVO DE COMBATE A INCÊNDIOS.</t>
  </si>
  <si>
    <t>PICTOGRAMA PARA EXTINTOR DE INCÊNDIO - CÍRCULO COM OS DIZERES "PROIBIDO DEPOSITAR MATERIAL" NO CENTRO -  DIAM=30CM, CONFORME PROJETO PREVENTIVO DE COMBATE A INCÊNDIOS.</t>
  </si>
  <si>
    <t>00004350 BUCHA NYLON S-8 C/ PARAF ROSCA SOBERBA ACO ZINCADO CAB CHATA FENDA SIMPLES 4,8 X 75MM UN 0,69</t>
  </si>
  <si>
    <t xml:space="preserve">EXTINTOR DE INCENDIO C/ CARGA DE PO QUIMICO SECO PQS 4KG </t>
  </si>
  <si>
    <t xml:space="preserve">EXTINTOR DE INCENDIO C/ CARGA GAS CARBONICO CO2 4KG </t>
  </si>
  <si>
    <t>Comp. 45</t>
  </si>
  <si>
    <t>Comp. 46</t>
  </si>
  <si>
    <t>Comp. 47</t>
  </si>
  <si>
    <t>AUXILIAR DE ELETRICISTA COM ENCARGOS COMPLEMENTARES</t>
  </si>
  <si>
    <t>ELETRICISTA COM ENCARGOS COMPLEMENTARES</t>
  </si>
  <si>
    <t xml:space="preserve">ELETRODUTO DE PVC RIGIDO ROSCAVEL DN 20MM (3/4") INCL CONEXOES, FORNECIMENTO E INSTALACAO </t>
  </si>
  <si>
    <t xml:space="preserve">CAIXA DE PASSAGEM PVC 4X2" - FORNECIMENTO E INSTALACAO </t>
  </si>
  <si>
    <t>CAIXA PVC SISTEMA X - 4X2"</t>
  </si>
  <si>
    <t>CAIXA SISTEMA X</t>
  </si>
  <si>
    <t>Comp. 48</t>
  </si>
  <si>
    <t>ABRAÇADEIRA GALVAN. TIPO CUNHA 3/4"</t>
  </si>
  <si>
    <t>ABRACADEIRA TIPO D 3/4" C/ PARAFUSO"</t>
  </si>
  <si>
    <t>BUCHA NYLON S-8</t>
  </si>
  <si>
    <t>Comp. 49</t>
  </si>
  <si>
    <t>Comp. 50</t>
  </si>
  <si>
    <t>Comp.                  74130/003A</t>
  </si>
  <si>
    <t>DISJUNTOR TERMOMAGNETICO BIPOLAR  NORMA DIN 10 A - 240V, FORNECIMENTO E INSTALACAO</t>
  </si>
  <si>
    <t>DISJUNTOR TERMOMAGNETICO BIPOLAR 10A</t>
  </si>
  <si>
    <t>Comp.                  74130/003B</t>
  </si>
  <si>
    <t>DISJUNTOR TERMOMAGNETICO BIPOLAR  NORMA DIN 13 A - 240V, FORNECIMENTO E INSTALACAO</t>
  </si>
  <si>
    <t>DISJUNTOR TERMOMAGNETICO BIPOLAR 13A</t>
  </si>
  <si>
    <t>Comp.                  74130/003C</t>
  </si>
  <si>
    <t>DISJUNTOR TERMOMAGNETICO BIPOLAR  NORMA DIN 16 A - 240V, FORNECIMENTO E INSTALACAO</t>
  </si>
  <si>
    <t>DISJUNTOR TERMOMAGNETICO BIPOLAR 16A</t>
  </si>
  <si>
    <t>Comp.                  74130/003D</t>
  </si>
  <si>
    <t>DISJUNTOR TERMOMAGNETICO BIPOLAR  NORMA DIN 20 A - 240V, FORNECIMENTO E INSTALACAO</t>
  </si>
  <si>
    <t>DISJUNTOR TERMOMAGNETICO BIPOLAR 20A</t>
  </si>
  <si>
    <t>Comp.                  74130/003E</t>
  </si>
  <si>
    <t>DISJUNTOR TERMOMAGNETICO BIPOLAR  NORMA DIN 25 A - 240V, FORNECIMENTO E INSTALACAO</t>
  </si>
  <si>
    <t>DISJUNTOR TERMOMAGNETICO BIPOLAR 25A</t>
  </si>
  <si>
    <t>Comp.                  74130/003F</t>
  </si>
  <si>
    <t>DISJUNTOR TERMOMAGNETICO BIPOLAR  NORMA DIN 32 A - 240V, FORNECIMENTO E INSTALACAO</t>
  </si>
  <si>
    <t>DISJUNTOR TERMOMAGNETICO BIPOLAR 32A</t>
  </si>
  <si>
    <t>INTERRUPTOR BIPOLAR DR (FASE/FASE - IN 30MA) - DIN 63 A</t>
  </si>
  <si>
    <t>INTERRUPTOR BIPOLAR DR (FASE/FASE - IN 30MA) - DIN 80 A</t>
  </si>
  <si>
    <t>Comp. 51</t>
  </si>
  <si>
    <t>Comp. 52</t>
  </si>
  <si>
    <t xml:space="preserve">CABO DE COBRE ISOLAMENTO TERMOPLASTICO 0,6/1KV 25MM2 ANTI-CHAMA - FORN </t>
  </si>
  <si>
    <t>ELETROCALHA PERFURADA TIPO U 200X50MM CHAPA 18</t>
  </si>
  <si>
    <t>SUPORTE VERTICAL 70X125MM</t>
  </si>
  <si>
    <t>TALA PLANA PERFURADA 50MM</t>
  </si>
  <si>
    <t>TAMPA PRESSÃO 200MM CHAPA 24</t>
  </si>
  <si>
    <t>Comp. 53</t>
  </si>
  <si>
    <t>Comp. 54</t>
  </si>
  <si>
    <t>Comp. 55</t>
  </si>
  <si>
    <t>Comp. 56</t>
  </si>
  <si>
    <t xml:space="preserve">INTERRUPTOR SIMPLES COM 1 TOMADA UNIVERSAL CONJUGADOS COM PLACA - FORN </t>
  </si>
  <si>
    <t xml:space="preserve">CONJUNTO EMBUTIR 1 INTERRUPTOR SIMPLES 1 TOMADA 2P UNIVERSAL 10A/250V C/ PLACA, TP SILENTOQUE </t>
  </si>
  <si>
    <t xml:space="preserve">TOMADA DE EMBUTIR 2P+T 10A/250V C/ PLACA - FORNECIMENTO E INSTALACAO </t>
  </si>
  <si>
    <t>ARRUELA LISA GALVAN.  1/4"</t>
  </si>
  <si>
    <t>00013348 ARRUELA REDONDA FG DIAM EXT= 35MM ESP= 3MM DIAM FURO= 18MM UN 0,16</t>
  </si>
  <si>
    <t>ARRUELA LISA GALVAN.  3/8"</t>
  </si>
  <si>
    <t>BUCHA NYLON S-4 UN 0,03</t>
  </si>
  <si>
    <t>PARAFUSO GALVAN. CAB. SEXT.  3/8"X2.1/2" ROSCA TOTAL WW</t>
  </si>
  <si>
    <t xml:space="preserve"> PARAFUSO ROSCA SOBERBA ZINCADO CAB CHATA FENDA SIMPLES 5,5 X 65MM (2.1/2") " UN 0,31</t>
  </si>
  <si>
    <t>PARAFUSO GALVAN. CABEÇA LENTILHA  1/4"X5/8" MÁQUINA ROSCA TOTAL</t>
  </si>
  <si>
    <t>PORCA SEXTAVADA GALVAN. 1/4"</t>
  </si>
  <si>
    <t>00014148 PORCA ZINCADA SEXTAVADA ALTA 1/4" UN 0,06</t>
  </si>
  <si>
    <t>PORCA SEXTAVADA GALVAN. 3/8"</t>
  </si>
  <si>
    <t>PORCA ZINCADA SEXTAVADA 3/8"</t>
  </si>
  <si>
    <t>Comp. 57</t>
  </si>
  <si>
    <t>Comp. 58</t>
  </si>
  <si>
    <t>Comp. 59</t>
  </si>
  <si>
    <t>Comp. 60</t>
  </si>
  <si>
    <t>Comp. 61</t>
  </si>
  <si>
    <t>Comp. 62</t>
  </si>
  <si>
    <t>Comp. 63</t>
  </si>
  <si>
    <t>Comp. 64</t>
  </si>
  <si>
    <t xml:space="preserve">00013348 ARRUELA REDONDA FG DIAM EXT= 35MM ESP= 3MM DIAM FURO= 18MM </t>
  </si>
  <si>
    <t>SUPORTE PARA CABO DE AÇO  38X90MM</t>
  </si>
  <si>
    <t>VERGALHÃO GALVAN. ROSCA TOTAL  1/4"X(COMP. P/ PROJ.)</t>
  </si>
  <si>
    <t>Comp. 65</t>
  </si>
  <si>
    <t>Comp. 66</t>
  </si>
  <si>
    <t>BASE P/ CAIXA 2X4 PIAL PLUS (OU SIMILAR)</t>
  </si>
  <si>
    <t>BASE P/ CAIXA 4X4 PIAL PLUS (OU SIMILAR)</t>
  </si>
  <si>
    <t>Comp. 67</t>
  </si>
  <si>
    <t>Comp. 68</t>
  </si>
  <si>
    <t xml:space="preserve">INTERRUPTOR PARALELO DE EMBUTIR 10A/250V 1 TECLA, SEM PLACA - FORNECIMENTO E INSTALAÇÃO </t>
  </si>
  <si>
    <t>ARANDELA DE VIDRO COMPLETA COM SOQUETE E LÂMAPADA INCANDESCENTE DE 100 W</t>
  </si>
  <si>
    <t>ARANDELA DE VIDRO COMPLETA COM SOQUETE E LÂMPADA INCANDESCENTE DE 100W.</t>
  </si>
  <si>
    <t>ARANDELA DE VIDRO COMPLETA COM SOQUETE E LÂMPADA INCANDESCENTE COM FOTOCELULA 100 W</t>
  </si>
  <si>
    <t>Comp. 69</t>
  </si>
  <si>
    <t>Comp. 70</t>
  </si>
  <si>
    <t xml:space="preserve">LUMINARIA GLOBO VIDRO LEITOSO/PLAFONIER/BOCAL/LAMPADA 100W </t>
  </si>
  <si>
    <t xml:space="preserve">LUMINARIA PLAFONIER SOBREPOR ARO/BASE METALICA C/ GLOBO ESFERICO VIDRO LEITOSO BOCA 10CM DIAM </t>
  </si>
  <si>
    <t>INSTALAÇÃO ELÉTRICA - LÓGICA</t>
  </si>
  <si>
    <t xml:space="preserve">TOMADA RJ45 NA PAREDE (2P) </t>
  </si>
  <si>
    <t>Comp. 71</t>
  </si>
  <si>
    <t>Comp. 72</t>
  </si>
  <si>
    <t>Comp. 73</t>
  </si>
  <si>
    <t>Comp. 74</t>
  </si>
  <si>
    <t>Comp. 75</t>
  </si>
  <si>
    <t>Comp. 76</t>
  </si>
  <si>
    <t>Comp. 77</t>
  </si>
  <si>
    <t>Comp. 78</t>
  </si>
  <si>
    <t>Comp. 79</t>
  </si>
  <si>
    <t>Comp. 80</t>
  </si>
  <si>
    <t>Comp. 81</t>
  </si>
  <si>
    <t>ELETROCALHA PERFURADA TIPO U 100X50MM CHAPA 18</t>
  </si>
  <si>
    <t>SUPORTE VERTICAL 70X96MM</t>
  </si>
  <si>
    <t>TAMPA PRESSÃO 100MM CHAPA 24</t>
  </si>
  <si>
    <t>Comp. 82</t>
  </si>
  <si>
    <t>Comp. 83</t>
  </si>
  <si>
    <t>Comp. 84</t>
  </si>
  <si>
    <t>Comp. 85</t>
  </si>
  <si>
    <t>Comp. 86</t>
  </si>
  <si>
    <t>Comp. 87</t>
  </si>
  <si>
    <t>CABO UTP-8 VIAS, CAT.6E</t>
  </si>
  <si>
    <t xml:space="preserve">M </t>
  </si>
  <si>
    <t>CABO UTP 8 VIAS - CABO PARA LÓGICA 2300 6E</t>
  </si>
  <si>
    <t>Comp. 88</t>
  </si>
  <si>
    <t>Comp. 89</t>
  </si>
  <si>
    <t>Comp. 90</t>
  </si>
  <si>
    <t>Comp. 91</t>
  </si>
  <si>
    <t>Comp. 93</t>
  </si>
  <si>
    <t>Comp. 92</t>
  </si>
  <si>
    <t>Comp. 94</t>
  </si>
  <si>
    <t>Comp. 96</t>
  </si>
  <si>
    <t>Comp. 97</t>
  </si>
  <si>
    <t>Comp. 98</t>
  </si>
  <si>
    <t>Comp. 99</t>
  </si>
  <si>
    <t>Comp. 100</t>
  </si>
  <si>
    <t>Comp. 101</t>
  </si>
  <si>
    <t>Comp. 102</t>
  </si>
  <si>
    <t>Comp. 95</t>
  </si>
  <si>
    <t>Comp. 103</t>
  </si>
  <si>
    <t>Comp. 104</t>
  </si>
  <si>
    <t>Comp. 105</t>
  </si>
  <si>
    <t>Comp. 106</t>
  </si>
  <si>
    <t xml:space="preserve">CABO TELEFÔNICO SEM BLINDAGEM INTERNA CCI 1 PAR </t>
  </si>
  <si>
    <t>INSTALAÇÃO ELÉTRICA - TELEFONIA</t>
  </si>
  <si>
    <t xml:space="preserve">SELADOR LATEX PVA </t>
  </si>
  <si>
    <t xml:space="preserve">APLICAÇÃO DE FUNDO SELADOR LÁTEX PVA EM TETO, UMA DEMÃO. </t>
  </si>
  <si>
    <t>PINTOR COM ENCARGOS COMPLEMENTARES</t>
  </si>
  <si>
    <t xml:space="preserve">APLICAÇÃO E LIXAMENTO DE MASSA LÁTEX EM PAREDES EXTERNAS, UMA DEMÃO. </t>
  </si>
  <si>
    <t>SERVIÇOS COMPLEMENTARES</t>
  </si>
  <si>
    <t>BANCADA DE CONCRETO ARMADO, 2.10x0.60M, REVESTIDO COM PORCELANATO POLIDO 60X60CM, JUNTA 2MM.(SALA DE AULA PRÁTICA)</t>
  </si>
  <si>
    <t>Comp. 107</t>
  </si>
  <si>
    <t>00001346 CHAPA MADEIRA COMPENSADA PLASTIFICADA 2,2 X 1,1M X 10MM P/ FORMA CONCRETO</t>
  </si>
  <si>
    <t xml:space="preserve">00005066 PREGO POLIDO COM CABECA 12 X 12 </t>
  </si>
  <si>
    <t>TELA ACO SOLDADA NERVURADA CA-60, Q-138, (2,20KG/M2), DIÂMETRO DO FIO =4,2MM, LARGURA=2,45 X 120M</t>
  </si>
  <si>
    <t>BANCADA DE CONCRETO ARMADO, 2.00x0.70M, REVESTIDO COM PORCELANATO POLIDO 60X60CM, JUNTA 2MM.(Nº 17 - SALA DE HISTOLOGIA E HISTOPATOLOGIA)</t>
  </si>
  <si>
    <t>Comp. 108</t>
  </si>
  <si>
    <t>BANCADA DE CONCRETO ARMADO, 1.82x0.70M, REVESTIDO COM PORCELANATO POLIDO 60X60CM, JUNTA 2MM.(Nº 17 - SALA DE HISTOLOGIA E HISTOPATOLOGIA)</t>
  </si>
  <si>
    <t>Comp. 109</t>
  </si>
  <si>
    <t>CHAPA MADEIRA COMPENSADA PLASTIFICADA 2,2 X 1,1M X 10MM P/ FORMA CONCRETO</t>
  </si>
  <si>
    <t>BANCADA DE CONCRETO ARMADO, 3.00x0.70M, REVESTIDO COM PORCELANATO POLIDO 60X60CM, JUNTA 2MM.(Nº 17 - SALA DE HISTOLOGIA E HISTOPATOLOGIA)</t>
  </si>
  <si>
    <t xml:space="preserve">CHAPA MADEIRA COMPENSADA PLASTIFICADA 2,2 X 1,1M X 10MM P/ FORMA CONCRETO </t>
  </si>
  <si>
    <t>00005066 PREGO POLIDO COM CABECA 12 X 12</t>
  </si>
  <si>
    <t>Comp. 110</t>
  </si>
  <si>
    <t>BANCADA DE CONCRETO ARMADO, 4.85x0.70M, REVESTIDO COM PORCELANATO POLIDO 60X60CM, JUNTA 2MM.(Nº 17 - SALA DE HISTOLOGIA E HISTOPATOLOGIA)</t>
  </si>
  <si>
    <t>Comp. 111</t>
  </si>
  <si>
    <t>BANCADA DE CONCRETO ARMADO, 2.7x0.60M, REVESTIDO COM PORCELANATO POLIDO 60X60CM, JUNTA 2MM.(Nº 17 - SALA DE PREPARAÇÃO DE PEÇAS)</t>
  </si>
  <si>
    <t>Comp. 112</t>
  </si>
  <si>
    <t>BANCADA DE CONCRETO ARMADO, 2.60x0.60M, REVESTIDO COM PORCELANATO POLIDO 60X60CM, JUNTA 2MM.(Nº 17 - SALA DE PREPARAÇÃO DE PEÇAS)</t>
  </si>
  <si>
    <t>Comp. 113</t>
  </si>
  <si>
    <t>Comp. 114</t>
  </si>
  <si>
    <t>BANCADA DE CONCRETO ARMADO, 3.85x0.70M, REVESTIDO COM PORCELANATO POLIDO 60X60CM, JUNTA 2MM.(Nº 17 - SALA DE IMUNO-HISTOQUIMICA)</t>
  </si>
  <si>
    <t>BANCADA DE CONCRETO ARMADO, 6.00x0.70M, REVESTIDO COM PORCELANATO POLIDO 60X60CM, JUNTA 2MM.(Nº 17 - SALA DE IMUNO-HISTOQUIMICA)</t>
  </si>
  <si>
    <t>Comp. 115</t>
  </si>
  <si>
    <t>BANCADA DE CONCRETO ARMADO, 6.10x0.70M, REVESTIDO COM PORCELANATO POLIDO 60X60CM, JUNTA 2MM.(Nº 17 - SALA DE NECROPSIA)</t>
  </si>
  <si>
    <t>Comp. 116</t>
  </si>
  <si>
    <t>BANCADA DE CONCRETO ARMADO, 3.87x0.70M, REVESTIDO COM PORCELANATO POLIDO 60X60CM, JUNTA 2MM.(Nº 17 - SALA DE NECROPSIA)</t>
  </si>
  <si>
    <t>Comp. 117</t>
  </si>
  <si>
    <t>ESTANTE DE CONCRETO ARMADO, 5.85X2.40x0.70M, REVESTIDO COM PORCELANATO POLIDO 60X60CM, JUNTA 2MM.(Nº 40 - SALA DE ARQUIVO ÚMIDO )</t>
  </si>
  <si>
    <t>Comp. 118</t>
  </si>
  <si>
    <t>ESTANTE DE CONCRETO ARMADO, 4.35X2.40x0.70M, REVESTIDO COM PORCELANATO POLIDO 60X60CM, JUNTA 2MM.(Nº 40 - SALA DE ARQUIVO ÚMIDO )</t>
  </si>
  <si>
    <t>Comp. 119</t>
  </si>
  <si>
    <t>BANCADA DE GRANITO SOBRE ESTRUTURA DE MADEIRA COM AS MEDIDAS DE 3.80X0.70X1.00M</t>
  </si>
  <si>
    <t xml:space="preserve">MARCENEIRO </t>
  </si>
  <si>
    <t xml:space="preserve">AJUDANTE ESPECIALIZADO </t>
  </si>
  <si>
    <t>Comp. 120</t>
  </si>
  <si>
    <t xml:space="preserve">GRANITO CINZA POLIDO P/BANCADA E=2,5 CM </t>
  </si>
  <si>
    <t xml:space="preserve">PECA DE MADEIRA LEI APARELHADA 2 X 3" (5 X 7,5CM) </t>
  </si>
  <si>
    <t>PECA DE MADEIRA LEI APARELHADA 3 X 4.1/2" (7,5 X 11,5)</t>
  </si>
  <si>
    <t>BANCADA DE GRANITO SOBRE ESTRUTURA DE MADEIRA COM AS MEDIDAS DE 2.15X0.60X0.90M</t>
  </si>
  <si>
    <t xml:space="preserve">FOLHEADO MADEIRA CEDRO/VIROLA/CEREJEIRA/FREJO OU EQUIVALENTE PARA REVESTIMENTO DE COMPENSA </t>
  </si>
  <si>
    <t>00011131 CHAPA DE MADEIRA COMPENSADA DE PINUS, VIROLA OU EQUIVALENTE, DE *2,2 X 1,6* M, E = 20 MM M2 29,48</t>
  </si>
  <si>
    <t>LABORATÓRIOS ANATOMIA E PATOLOGIA</t>
  </si>
  <si>
    <t>JOINVILLE / SC</t>
  </si>
  <si>
    <t>ÍTEM</t>
  </si>
  <si>
    <t>1.2</t>
  </si>
  <si>
    <t>1.3</t>
  </si>
  <si>
    <t>3.8</t>
  </si>
  <si>
    <t>4.5</t>
  </si>
  <si>
    <t>4.6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</si>
  <si>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</si>
  <si>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</si>
  <si>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</si>
  <si>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</si>
  <si>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</si>
  <si>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</si>
  <si>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</si>
  <si>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</si>
  <si>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</si>
  <si>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10.4</t>
  </si>
  <si>
    <t>12.6</t>
  </si>
  <si>
    <t xml:space="preserve">MICTORIO SIFONADO LOUCA BRANCA C/PERTENCES </t>
  </si>
  <si>
    <t>REGISTRO PRESSAO 1/2" REF 1416 - C/ CANOPLA ACAB CROMADO SIMPLES</t>
  </si>
  <si>
    <t xml:space="preserve">PARAFUSO NIQUELADO P/ FIXAR PECA SANITARIA - INCL PORCA CEGA, ARRUELA E BUCHA DE NYLON S-8 </t>
  </si>
  <si>
    <t xml:space="preserve">LAVATORIO/CUBA DE EMBUTIR OVAL LOUCA COR 35 X 50CM OU EQUIV SEM LADRAO - PADRAO MEDIO </t>
  </si>
  <si>
    <t>SIFAO EM METAL CROMADO 1 X 1 1/4"</t>
  </si>
  <si>
    <t>VALVULA EM METAL CROMADO TIPO AMERICANA 3.1/2" X 1.1/2" P/ PIA DE COZINHA</t>
  </si>
  <si>
    <t xml:space="preserve">ENGATE OU RABICHO FLEXIVEL PLASTICO (PVC OU ABS) BRANCO 1/2" X 30CM </t>
  </si>
  <si>
    <t>ARGAMASSA TRACO 1:3 (CIMENTO E AREIA GROSSA NAO PENEIRADA), PREPARO MANUAL</t>
  </si>
  <si>
    <t>TANQUE DE LOUÇA BRANCA SUSPENSO, 18L OU EQUIVALENTE - FORNECIMENTO E INST.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</si>
  <si>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</si>
  <si>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</si>
  <si>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</si>
  <si>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</si>
  <si>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</si>
  <si>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</si>
  <si>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</si>
  <si>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</si>
  <si>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</si>
  <si>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</si>
  <si>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</si>
  <si>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</si>
  <si>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</si>
  <si>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</si>
  <si>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</si>
  <si>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</si>
  <si>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</si>
  <si>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</si>
  <si>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15.20</t>
  </si>
  <si>
    <t>15.21</t>
  </si>
  <si>
    <t>15.22</t>
  </si>
  <si>
    <t>15.23</t>
  </si>
  <si>
    <t>15.24</t>
  </si>
  <si>
    <t>15.25</t>
  </si>
  <si>
    <t>15.26</t>
  </si>
  <si>
    <t>15.27</t>
  </si>
  <si>
    <t>15.28</t>
  </si>
  <si>
    <t>15.29</t>
  </si>
  <si>
    <t>15.30</t>
  </si>
  <si>
    <t>15.31</t>
  </si>
  <si>
    <t>15.32</t>
  </si>
  <si>
    <t>15.33</t>
  </si>
  <si>
    <t>16.4</t>
  </si>
  <si>
    <t>16.5</t>
  </si>
  <si>
    <t>16.6</t>
  </si>
  <si>
    <t>16.7</t>
  </si>
  <si>
    <t>16.8</t>
  </si>
  <si>
    <t>16.9</t>
  </si>
  <si>
    <t>16.10</t>
  </si>
  <si>
    <t>16.11</t>
  </si>
  <si>
    <t>16.12</t>
  </si>
  <si>
    <t>16.13</t>
  </si>
  <si>
    <t>16.14</t>
  </si>
  <si>
    <t>16.15</t>
  </si>
  <si>
    <t>16.16</t>
  </si>
  <si>
    <t>16.17</t>
  </si>
  <si>
    <t>16.18</t>
  </si>
  <si>
    <t>16.19</t>
  </si>
  <si>
    <t>16.20</t>
  </si>
  <si>
    <t>16.21</t>
  </si>
  <si>
    <t>16.22</t>
  </si>
  <si>
    <t>16.23</t>
  </si>
  <si>
    <t>16.24</t>
  </si>
  <si>
    <t>16.25</t>
  </si>
  <si>
    <t>16.26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</si>
  <si>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</si>
  <si>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</si>
  <si>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</si>
  <si>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</si>
  <si>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</si>
  <si>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</si>
  <si>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</si>
  <si>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</si>
  <si>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</si>
  <si>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22.2</t>
  </si>
  <si>
    <t>22.3</t>
  </si>
  <si>
    <t>22.4</t>
  </si>
  <si>
    <t>22.5</t>
  </si>
  <si>
    <t>22.6</t>
  </si>
  <si>
    <t>22.7</t>
  </si>
  <si>
    <t>22.8</t>
  </si>
  <si>
    <t>22.9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</si>
  <si>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</si>
  <si>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</si>
  <si>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</si>
  <si>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</si>
  <si>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</si>
  <si>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</si>
  <si>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</si>
  <si>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</si>
  <si>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</si>
  <si>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</si>
  <si>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22.20</t>
  </si>
  <si>
    <t>22.21</t>
  </si>
  <si>
    <t>22.22</t>
  </si>
  <si>
    <t>22.23</t>
  </si>
  <si>
    <t>22.24</t>
  </si>
  <si>
    <t>22.25</t>
  </si>
  <si>
    <t>22.26</t>
  </si>
  <si>
    <t>22.27</t>
  </si>
  <si>
    <t>22.28</t>
  </si>
  <si>
    <t>22.29</t>
  </si>
  <si>
    <t>22.30</t>
  </si>
  <si>
    <t>22.31</t>
  </si>
  <si>
    <t>22.32</t>
  </si>
  <si>
    <t>22.33</t>
  </si>
  <si>
    <t>22.34</t>
  </si>
  <si>
    <t>22.35</t>
  </si>
  <si>
    <t>22.36</t>
  </si>
  <si>
    <t>22.37</t>
  </si>
  <si>
    <t>22.38</t>
  </si>
  <si>
    <t>22.39</t>
  </si>
  <si>
    <t>22.40</t>
  </si>
  <si>
    <t>22.41</t>
  </si>
  <si>
    <t>22.42</t>
  </si>
  <si>
    <t>22.43</t>
  </si>
  <si>
    <t>22.44</t>
  </si>
  <si>
    <t>22.45</t>
  </si>
  <si>
    <t>22.46</t>
  </si>
  <si>
    <t>22.47</t>
  </si>
  <si>
    <t>22.48</t>
  </si>
  <si>
    <t>22.49</t>
  </si>
  <si>
    <t>22.50</t>
  </si>
  <si>
    <t>22.51</t>
  </si>
  <si>
    <t>22.52</t>
  </si>
  <si>
    <t>22.53</t>
  </si>
  <si>
    <t>22.54</t>
  </si>
  <si>
    <t>22.55</t>
  </si>
  <si>
    <t>22.56</t>
  </si>
  <si>
    <t>23.1</t>
  </si>
  <si>
    <t>23.2</t>
  </si>
  <si>
    <t>23.3</t>
  </si>
  <si>
    <t>23.4</t>
  </si>
  <si>
    <t>23.5</t>
  </si>
  <si>
    <t>23.6</t>
  </si>
  <si>
    <t>23.7</t>
  </si>
  <si>
    <t>23.8</t>
  </si>
  <si>
    <t>23.9</t>
  </si>
  <si>
    <t>23.10</t>
  </si>
  <si>
    <t>23.11</t>
  </si>
  <si>
    <t>23.12</t>
  </si>
  <si>
    <t>23.13</t>
  </si>
  <si>
    <t>23.14</t>
  </si>
  <si>
    <t>23.15</t>
  </si>
  <si>
    <t>23.16</t>
  </si>
  <si>
    <t>23.17</t>
  </si>
  <si>
    <t>23.18</t>
  </si>
  <si>
    <t>23.19</t>
  </si>
  <si>
    <t>23.20</t>
  </si>
  <si>
    <t>24.1</t>
  </si>
  <si>
    <t>24.2</t>
  </si>
  <si>
    <t>24.3</t>
  </si>
  <si>
    <t>24.4</t>
  </si>
  <si>
    <t>24.5</t>
  </si>
  <si>
    <t>24.6</t>
  </si>
  <si>
    <t>24.7</t>
  </si>
  <si>
    <t>24.8</t>
  </si>
  <si>
    <t>24.9</t>
  </si>
  <si>
    <t>24.10</t>
  </si>
  <si>
    <t>24.11</t>
  </si>
  <si>
    <t>24.12</t>
  </si>
  <si>
    <t>24.13</t>
  </si>
  <si>
    <t>24.14</t>
  </si>
  <si>
    <t>24.15</t>
  </si>
  <si>
    <t>24.16</t>
  </si>
  <si>
    <t>24.17</t>
  </si>
  <si>
    <t>24.18</t>
  </si>
  <si>
    <t>24.19</t>
  </si>
  <si>
    <t>24.20</t>
  </si>
  <si>
    <t>24.21</t>
  </si>
  <si>
    <t>25.1</t>
  </si>
  <si>
    <t>25.2</t>
  </si>
  <si>
    <t>25.3</t>
  </si>
  <si>
    <t>25.4</t>
  </si>
  <si>
    <t>25.5</t>
  </si>
  <si>
    <t>25.6</t>
  </si>
  <si>
    <t>25.7</t>
  </si>
  <si>
    <t>25.8</t>
  </si>
  <si>
    <t>26.1</t>
  </si>
  <si>
    <t>26.2</t>
  </si>
  <si>
    <t>26.3</t>
  </si>
  <si>
    <t>26.4</t>
  </si>
  <si>
    <t>26.5</t>
  </si>
  <si>
    <t>26.6</t>
  </si>
  <si>
    <t>26.7</t>
  </si>
  <si>
    <t>26.8</t>
  </si>
  <si>
    <t>26.9</t>
  </si>
  <si>
    <t>26.10</t>
  </si>
  <si>
    <t>26.11</t>
  </si>
  <si>
    <t>26.12</t>
  </si>
  <si>
    <t>26.13</t>
  </si>
  <si>
    <t>26.14</t>
  </si>
  <si>
    <t>26.15</t>
  </si>
  <si>
    <t>27.1</t>
  </si>
  <si>
    <t>IFC- ARAQUARI</t>
  </si>
  <si>
    <t>Eng. Cirilo de Alexandria Almeida Jr - CREA 094274-8</t>
  </si>
  <si>
    <t xml:space="preserve"> TUBO PVC SOLDAVEL EB-892 P/AGUA FRIA PREDIAL DN 40MM</t>
  </si>
  <si>
    <t xml:space="preserve">VALVULA RETENCAO HORIZONTAL BRONZE (PN-25) 1" 400PSI TAMPA C/ PORCA DE UNIAO - EXTREMIDADES C/ </t>
  </si>
  <si>
    <t>VALVULA PE C/ CRIVO BRONZE 1"</t>
  </si>
  <si>
    <t>VASO SANITARIO SIFONADO LOUÇA BRANCA, COM CONJUNTO PARA FIXAÇAO  COM PARAFUSO, ARRUELA E BUCHA - FORNECIMENTO E INSTALACAO</t>
  </si>
  <si>
    <t>JUNTA PLASTICA DE VEDACAO - BISNAGA 250G</t>
  </si>
  <si>
    <t xml:space="preserve">BACIA SANITARIA (VASO) CONVENCIONAL DE LOUCA BRANCA </t>
  </si>
  <si>
    <t>TANQUE DE LOUÇA BRANCA SUSPENSO, 18L OU EQUIVALENTE, INCLUSO SIFÃO TIPO GARRAFA EM PVC, VÁLVULA PLÁSTICA E TORNEIRA DE METAL CROMADO PADRÃO POPULAR - FORNECIMENTO E INSTALAÇÃO.</t>
  </si>
  <si>
    <t xml:space="preserve"> JUNCAO PVC ESGOTO 100X50MM - FORNECIMENTO E INSTALACAO</t>
  </si>
  <si>
    <t xml:space="preserve"> JUNCAO PVC ESGOTO 100X75MM - FORNECIMENTO E INSTALACAO </t>
  </si>
  <si>
    <t xml:space="preserve"> JUNCAO PVC ESGOTO 100X100MM - FORNECIMENTO E INSTALACAO </t>
  </si>
  <si>
    <t xml:space="preserve"> JUNCAO PVC ESGOTO 50X50MM - FORNECIMENTO E INSTALACAO </t>
  </si>
  <si>
    <t xml:space="preserve"> JUNCAO PVC ESGOTO 75X50MM - FORNECIMENTO E INSTALACAO</t>
  </si>
  <si>
    <t xml:space="preserve"> TUBO PVC PONTA/BOLSA C/VIROLA DN=150MM P/ ESGOTO JUNTA C/ ANEL </t>
  </si>
  <si>
    <t xml:space="preserve"> TUBO PVC PONTA/BOLSA C/ VIROLA DN=100MM P/ ESGOTO JUNTA COM ANEL - FORNECIMENTO E INSTALAÇÃO </t>
  </si>
  <si>
    <t>ANEL DE BORRACHA PARA TUBO DE ESGOTO PREDIAL, DN = 100 MM (NBR 5688)</t>
  </si>
  <si>
    <t>TUBO PVC SERIE NORMAL - ESGOTO PREDIAL DN 40MM - NBR 5688</t>
  </si>
  <si>
    <t>PASTA LUBRIFICANTE PARA TUBOS DE PVC C/ ANEL DE BORRACHA ( POTE 5000G)</t>
  </si>
  <si>
    <t xml:space="preserve"> TUBO PVC SERIE NORMAL - ESGOTO PREDIAL DN 50MM - NBR 5688</t>
  </si>
  <si>
    <t xml:space="preserve">TE SANITARIO 75X50MM, COM ANÉIS - FORNECIMENTO E INSTALACAO </t>
  </si>
  <si>
    <t xml:space="preserve"> TE SANITARIO 50X50MM, COM ANÉIS - FORNECIMENTO E INSTALACAO </t>
  </si>
  <si>
    <t xml:space="preserve">JUNCAO PVC ESGOTO 100X100MM - FORNECIMENTO E INSTALACAO </t>
  </si>
  <si>
    <t>LUVA PVC ESGOTO 100MM - FORNECIMENTO E INSTALACAO</t>
  </si>
  <si>
    <t xml:space="preserve"> PASTA LUBRIFICANTE PARA TUBOS DE PVC C/ ANEL DE BORRACHA ( POTE 5000G</t>
  </si>
  <si>
    <t xml:space="preserve"> TUBO PVC EB-644 P/ REDE COLET ESG JE DN 150MM</t>
  </si>
  <si>
    <t xml:space="preserve"> REGULARIZACAO DE SUPERFICIE DE CONC. APARENTE </t>
  </si>
  <si>
    <t>DUTO ESPIRAL FLEXIVEL SINGELO PEAD D=50MM(2") REVESTIDO COM PVC COM FI M 22,10</t>
  </si>
  <si>
    <t xml:space="preserve">ELETRODUTO PVC FLEXIVEL CORRUGADO 20MM TIPO TIGREFLEX OU EQUIV </t>
  </si>
  <si>
    <t>DISJUNTOR TIPO NEMA, TRIPOLAR 60 ATE 100A</t>
  </si>
  <si>
    <t>CABO DE COBRE ISOLAMENTO ANTI-CHAMA 0,6/1KV 50MM2 (1 CONDUTOR) TP SINTENAX PIRELLI OU EQUIV</t>
  </si>
  <si>
    <t>CABO DE COBRE ISOLAMENTO TERMOPLASTICO 0,6/1KV 50MM2 ANTI-CHAMA - FORN</t>
  </si>
  <si>
    <t>CABO DE COBRE ISOLAMENTO ANTI-CHAMA 0,6/1KV 25MM2 (1 CONDUTOR) TP SINTENAX PIRELLI OU EQUIV</t>
  </si>
  <si>
    <t>TOMADA DE EMBUTIR, 2 P + T, UNIVERSAL, DE 10 A / 250 V, COM PLACA</t>
  </si>
  <si>
    <t xml:space="preserve"> TOMADA DE EMBUTIR 2P+T 20A/250V C/ PLACA - FORNECIMENTO E INSTALACAO </t>
  </si>
  <si>
    <t xml:space="preserve"> TOMADA DUPLA DE EMBUTIR 2X2P+T 10A/250V C/ PLACA - FORNECIMENTO E INST </t>
  </si>
  <si>
    <t xml:space="preserve">TOMADA DUPLA EMBUTIR 2 X 2P UNIVERSAL 10A/250V C/PLACA, TIPO SILENTOQUE PIAL OU EQUIV </t>
  </si>
  <si>
    <t xml:space="preserve"> INTERRUPTOR SIMPLES DE EMBUTIR 10A/250V 1 TECLA, SEM PLACA - FORNECIME</t>
  </si>
  <si>
    <t xml:space="preserve"> INTERRUPTOR SIMPLES EMBUTIR 10A/250V S/PLACA, TIPO SILENTOQUE PIAL OU EQUIV</t>
  </si>
  <si>
    <t>QUADRO DE DISTRIBUICAO DE ENERGIA DE EMBUTIR, EM CHAPA METALICA, PARA</t>
  </si>
  <si>
    <t xml:space="preserve"> QUADRO DE DISTRIBUICAO DE ENERGIA DE EMBUTIR, EM CHAPA METALICA, PARA</t>
  </si>
  <si>
    <t xml:space="preserve">ARRUELA REDONDA FG DIAM EXT= 35MM ESP= 3MM DIAM FURO= 18MM </t>
  </si>
  <si>
    <t xml:space="preserve"> PORCA ZINCADA SEXTAVADA ALTA 1/4"</t>
  </si>
  <si>
    <t xml:space="preserve"> INTERRUPTOR PARALELO DE EMBUTIR 10A/250V 2 TECLAS - FORNECIMENTO E INSTALAÇÃO</t>
  </si>
  <si>
    <t xml:space="preserve">CONJUNTO EMBUTIR 2 INTERRUPTORES PARALELOS 10A/250V C/ PLACA, TP SILENTOQUE PIAL OU EQUIV </t>
  </si>
  <si>
    <t>INTERRUPTOR SIMPLES DE EMBUTIR 10A/250V 2 TECLAS, COM PLACA - FORNECIM</t>
  </si>
  <si>
    <t>CONJUNTO EMBUTIR 2 INTERRUPTORES SIMPLES 10A/250V C/ PLACA, TP SILENTOQUE PIAL OU EQUIV</t>
  </si>
  <si>
    <t>LUMINARIA PLAFONIER SOBREPOR ARO/BASE METALICA C/ GLOBO ESFERICO VIDRO LEITOSO BOCA 10CM DIAM 20CM P/ 1 LAMP INCAND, INCL SOQUETE PORCELANA</t>
  </si>
  <si>
    <t xml:space="preserve"> RELE FOTOELETRICO 1000W/220V </t>
  </si>
  <si>
    <t>LUMINARIA CALHA SOBREPOR EM CHAPA ACO C/ 2 LAMPADAS FLUORESCENTES 40W (COMPLETA, INCL REATOR</t>
  </si>
  <si>
    <t>ELETRODUTO DE PVC RIGIDO ROSCAVEL DN 20MM (3/4") INCL CONEXOES, FORNEC</t>
  </si>
  <si>
    <t xml:space="preserve">ELETRODUTO DE PVC ROSCÁVEL DE 3/4, SEM LUVA </t>
  </si>
  <si>
    <t>CAIXA DE PASSAGEM PVC 4X2" - FORNECIMENTO E INSTALACAO</t>
  </si>
  <si>
    <t>CAIXA DE PASSAGEM N 2 PADRAO TELEBRAS DIM 20 X 20 X 12CM EM CHAPA DE ACO GALV</t>
  </si>
  <si>
    <t>ARRUELA REDONDA FG DIAM EXT= 35MM ESP= 3MM DIAM FURO= 18MM</t>
  </si>
  <si>
    <t xml:space="preserve"> PORCA ZINCADA SEXTAVADA ALTA 1/4" UN 0,06</t>
  </si>
  <si>
    <t xml:space="preserve"> ELETRODUTO DE PVC ROSCÁVEL DE 3/4, SEM LUVA </t>
  </si>
  <si>
    <t xml:space="preserve"> ELETRODUTO DE PVC RIGIDO ROSCAVEL DN 20MM (3/4") INCL CONEXOES, FORNEC</t>
  </si>
  <si>
    <t xml:space="preserve"> CAIXA DE PASSAGEM PVC 4X2" - FORNECIMENTO E INSTALACAO </t>
  </si>
  <si>
    <t>CABO TELEFONICO CCI-50 1 PAR (USO INTERNO) - FORNECIMENTO E INSTALACAO M 0,94</t>
  </si>
  <si>
    <t xml:space="preserve">APLICAÇÃO MANUAL DE PINTURA COM TINTA LÁTEX PVA EM TETO, DUAS DEMÃOS. </t>
  </si>
  <si>
    <t>APLICAÇÃO DE FUNDO SELADOR ACRÍLICO EM PAREDES, UMA DEMÃO.</t>
  </si>
  <si>
    <t>SELADOR ACRILICO L 6,39</t>
  </si>
  <si>
    <t xml:space="preserve">APLICAÇÃO MANUAL DE PINTURA COM TINTA LÁTEX ACRÍLICA EM PAREDES, DUAS </t>
  </si>
  <si>
    <t xml:space="preserve"> TINTA LATEX ACRILICA</t>
  </si>
  <si>
    <t>APLICAÇÃO E LIXAMENTO DE MASSA LÁTEX EM PAREDES, DUAS DEMÃOS.</t>
  </si>
  <si>
    <t xml:space="preserve">MASSA CORRIDA PVA PARA PAREDES INTERNAS 18L </t>
  </si>
  <si>
    <t>MASSA CORRIDA PVA PARA PAREDES INTERNAS 18L 90,25</t>
  </si>
  <si>
    <t>TINTA ESMALTE SINTETICO ACETINADO</t>
  </si>
  <si>
    <t xml:space="preserve">PINTURA ESMALTE BRILHANTE (2 DEMAOS) SOBRE SUPERFICIE METALICA, INCLUSIVE PROTECAO COM ZARCAO (1 DEMAO)      </t>
  </si>
  <si>
    <t xml:space="preserve"> CHAPA MADEIRA COMPENSADA PLASTIFICADA 2,2 X 1,1M X 10MM P/ FORMA CONCRETO</t>
  </si>
  <si>
    <t xml:space="preserve">PREGO POLIDO COM CABECA 12 X 12 </t>
  </si>
  <si>
    <t>CHAPA MADEIRA COMPENSADA PLASTIFICADA 2,2 X 1,1M X 10MM P/ FORMA CONCRETO M2 17,79</t>
  </si>
  <si>
    <t xml:space="preserve"> PREGO POLIDO COM CABECA 12 X 12 </t>
  </si>
  <si>
    <t xml:space="preserve">00001346 CHAPA MADEIRA COMPENSADA PLASTIFICADA 2,2 X 1,1M X 10MM P/ FORMA CONCRETO </t>
  </si>
  <si>
    <t>PREGO POLIDO COM CABECA 12 X 12</t>
  </si>
  <si>
    <t xml:space="preserve"> CHAPA MADEIRA COMPENSADA PLASTIFICADA 2,2 X 1,1M X 10MM P/ FORMA CONCRETO </t>
  </si>
  <si>
    <t>Joinville, 23 de agosto de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</si>
</sst>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5" formatCode="_(* #,##0.00_);_(* \(#,##0.00\);_(* &quot;-&quot;??_);_(@_)"/>
    <numFmt numFmtId="166" formatCode="#,##0.00\ ;\-#,##0.00\ ;&quot; -&quot;#\ ;@\ "/>
    <numFmt numFmtId="169" formatCode="&quot;R$ &quot;#,##0_);&quot;(R$ &quot;#,##0\)"/>
    <numFmt numFmtId="170" formatCode="#,##0.00000"/>
    <numFmt numFmtId="171" formatCode="#,##0.000000"/>
    <numFmt numFmtId="172" formatCode="#,##0.0000000"/>
    <numFmt numFmtId="173" formatCode="#,##0.000000\ ;\-#,##0.000000\ ;&quot; -&quot;#.0000\ ;@\ "/>
    <numFmt numFmtId="174" formatCode="0.000000"/>
    <numFmt numFmtId="175" formatCode="0.00000000"/>
    <numFmt numFmtId="176" formatCode="0.000000000"/>
    <numFmt numFmtId="177" formatCode="#,##0.0000_);\(#,##0.0000\)"/>
    <numFmt numFmtId="178" formatCode="&quot;R$ &quot;#,##0.00"/>
  </numFmts>
  <fonts count="5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8"/>
      <name val="Calibri"/>
      <family val="2"/>
    </font>
    <font>
      <b/>
      <sz val="10"/>
      <color indexed="8"/>
      <name val="Arial"/>
      <family val="2"/>
    </font>
    <font>
      <b/>
      <sz val="8"/>
      <color indexed="30"/>
      <name val="Arial"/>
      <family val="2"/>
    </font>
    <font>
      <sz val="8"/>
      <color indexed="3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6"/>
      <color theme="1"/>
      <name val="Arial"/>
      <family val="2"/>
    </font>
    <font>
      <sz val="8"/>
      <color rgb="FF0070C0"/>
      <name val="Arial"/>
      <family val="2"/>
    </font>
    <font>
      <b/>
      <sz val="8"/>
      <color rgb="FF0070C0"/>
      <name val="Arial"/>
      <family val="2"/>
    </font>
    <font>
      <sz val="8"/>
      <color rgb="FF0000CC"/>
      <name val="Arial"/>
      <family val="2"/>
    </font>
    <font>
      <b/>
      <sz val="8"/>
      <color rgb="FF0000CC"/>
      <name val="Arial"/>
      <family val="2"/>
    </font>
    <font>
      <b/>
      <sz val="8"/>
      <color rgb="FFFF0000"/>
      <name val="Arial"/>
      <family val="2"/>
    </font>
    <font>
      <sz val="8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8"/>
      <color rgb="FF043AE6"/>
      <name val="Arial"/>
      <family val="2"/>
    </font>
    <font>
      <i/>
      <sz val="8"/>
      <name val="Arial"/>
      <family val="2"/>
    </font>
    <font>
      <b/>
      <sz val="8"/>
      <color rgb="FF043AE6"/>
      <name val="Arial"/>
      <family val="2"/>
    </font>
    <font>
      <sz val="11"/>
      <color rgb="FF043AE6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6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31"/>
        <bgColor indexed="45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44"/>
      </patternFill>
    </fill>
    <fill>
      <patternFill patternType="solid">
        <fgColor indexed="42"/>
        <bgColor indexed="46"/>
      </patternFill>
    </fill>
    <fill>
      <patternFill patternType="solid">
        <fgColor indexed="41"/>
        <bgColor indexed="2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14"/>
        <bgColor indexed="3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1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E8E8E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1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13" borderId="0" applyNumberFormat="0" applyBorder="0" applyAlignment="0" applyProtection="0"/>
    <xf numFmtId="0" fontId="14" fillId="4" borderId="1" applyNumberFormat="0" applyAlignment="0" applyProtection="0"/>
    <xf numFmtId="2" fontId="32" fillId="0" borderId="4"/>
    <xf numFmtId="0" fontId="1" fillId="0" borderId="0"/>
    <xf numFmtId="0" fontId="1" fillId="0" borderId="0" applyBorder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" fillId="0" borderId="0" applyBorder="0" applyProtection="0"/>
    <xf numFmtId="0" fontId="7" fillId="0" borderId="0" applyBorder="0" applyProtection="0"/>
    <xf numFmtId="0" fontId="21" fillId="0" borderId="0"/>
    <xf numFmtId="0" fontId="21" fillId="16" borderId="5" applyNumberFormat="0" applyAlignment="0" applyProtection="0"/>
    <xf numFmtId="0" fontId="1" fillId="16" borderId="6" applyProtection="0"/>
    <xf numFmtId="9" fontId="1" fillId="0" borderId="0" applyBorder="0" applyProtection="0"/>
    <xf numFmtId="0" fontId="17" fillId="9" borderId="7" applyNumberFormat="0" applyAlignment="0" applyProtection="0"/>
    <xf numFmtId="166" fontId="1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11" applyNumberFormat="0" applyFill="0" applyAlignment="0" applyProtection="0"/>
    <xf numFmtId="165" fontId="2" fillId="0" borderId="0" applyFont="0" applyFill="0" applyBorder="0" applyAlignment="0" applyProtection="0"/>
  </cellStyleXfs>
  <cellXfs count="843">
    <xf numFmtId="0" fontId="0" fillId="0" borderId="0" xfId="0"/>
    <xf numFmtId="0" fontId="3" fillId="0" borderId="0" xfId="3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31" applyFont="1" applyFill="1" applyBorder="1" applyAlignment="1">
      <alignment vertical="center" wrapText="1"/>
    </xf>
    <xf numFmtId="4" fontId="4" fillId="0" borderId="0" xfId="0" applyNumberFormat="1" applyFont="1" applyFill="1" applyAlignment="1">
      <alignment vertical="center"/>
    </xf>
    <xf numFmtId="171" fontId="4" fillId="0" borderId="0" xfId="0" applyNumberFormat="1" applyFont="1" applyFill="1" applyAlignment="1">
      <alignment vertical="center"/>
    </xf>
    <xf numFmtId="171" fontId="4" fillId="0" borderId="0" xfId="0" applyNumberFormat="1" applyFont="1" applyFill="1" applyBorder="1" applyAlignment="1">
      <alignment horizontal="center" vertical="center"/>
    </xf>
    <xf numFmtId="171" fontId="4" fillId="0" borderId="0" xfId="31" applyNumberFormat="1" applyFont="1" applyFill="1" applyBorder="1" applyAlignment="1">
      <alignment vertical="center" wrapText="1"/>
    </xf>
    <xf numFmtId="171" fontId="3" fillId="0" borderId="18" xfId="0" applyNumberFormat="1" applyFont="1" applyBorder="1" applyAlignment="1">
      <alignment horizontal="right" vertical="center" wrapText="1"/>
    </xf>
    <xf numFmtId="4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9" fillId="0" borderId="14" xfId="31" applyNumberFormat="1" applyFont="1" applyFill="1" applyBorder="1" applyAlignment="1" applyProtection="1">
      <alignment horizontal="left" vertical="center" wrapText="1"/>
    </xf>
    <xf numFmtId="0" fontId="29" fillId="0" borderId="14" xfId="31" applyNumberFormat="1" applyFont="1" applyFill="1" applyBorder="1" applyAlignment="1" applyProtection="1">
      <alignment horizontal="center" vertical="center" wrapText="1"/>
    </xf>
    <xf numFmtId="4" fontId="29" fillId="0" borderId="14" xfId="31" applyNumberFormat="1" applyFont="1" applyFill="1" applyBorder="1" applyAlignment="1" applyProtection="1">
      <alignment horizontal="right" vertical="center" wrapText="1"/>
    </xf>
    <xf numFmtId="0" fontId="29" fillId="0" borderId="14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horizontal="center" vertical="center" wrapText="1"/>
    </xf>
    <xf numFmtId="4" fontId="29" fillId="0" borderId="14" xfId="0" applyNumberFormat="1" applyFont="1" applyFill="1" applyBorder="1" applyAlignment="1">
      <alignment horizontal="right" vertical="center" wrapText="1"/>
    </xf>
    <xf numFmtId="171" fontId="27" fillId="0" borderId="0" xfId="31" applyNumberFormat="1" applyFont="1" applyFill="1" applyBorder="1" applyAlignment="1" applyProtection="1">
      <alignment horizontal="right" vertical="top" wrapText="1"/>
    </xf>
    <xf numFmtId="171" fontId="7" fillId="0" borderId="0" xfId="31" applyNumberFormat="1" applyFont="1" applyFill="1" applyBorder="1" applyAlignment="1" applyProtection="1">
      <alignment horizontal="right" vertical="top" wrapText="1"/>
    </xf>
    <xf numFmtId="171" fontId="29" fillId="0" borderId="20" xfId="31" applyNumberFormat="1" applyFont="1" applyFill="1" applyBorder="1" applyAlignment="1" applyProtection="1">
      <alignment horizontal="right" vertical="center" wrapText="1"/>
    </xf>
    <xf numFmtId="171" fontId="29" fillId="0" borderId="14" xfId="31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171" fontId="29" fillId="0" borderId="20" xfId="31" applyNumberFormat="1" applyFont="1" applyFill="1" applyBorder="1" applyAlignment="1" applyProtection="1">
      <alignment horizontal="right" vertical="top" wrapText="1"/>
    </xf>
    <xf numFmtId="171" fontId="29" fillId="0" borderId="20" xfId="0" applyNumberFormat="1" applyFont="1" applyBorder="1" applyAlignment="1">
      <alignment horizontal="right" vertical="center" wrapText="1"/>
    </xf>
    <xf numFmtId="165" fontId="29" fillId="0" borderId="14" xfId="52" applyFont="1" applyFill="1" applyBorder="1" applyAlignment="1" applyProtection="1">
      <alignment horizontal="right" vertical="center" wrapText="1"/>
    </xf>
    <xf numFmtId="0" fontId="5" fillId="0" borderId="25" xfId="31" applyNumberFormat="1" applyFont="1" applyFill="1" applyBorder="1" applyAlignment="1" applyProtection="1">
      <alignment horizontal="left" vertical="center" wrapText="1"/>
    </xf>
    <xf numFmtId="0" fontId="5" fillId="0" borderId="25" xfId="31" applyNumberFormat="1" applyFont="1" applyFill="1" applyBorder="1" applyAlignment="1" applyProtection="1">
      <alignment horizontal="center" vertical="center" wrapText="1"/>
    </xf>
    <xf numFmtId="171" fontId="5" fillId="18" borderId="26" xfId="31" applyNumberFormat="1" applyFont="1" applyFill="1" applyBorder="1" applyAlignment="1" applyProtection="1">
      <alignment horizontal="right" vertical="center" wrapText="1"/>
    </xf>
    <xf numFmtId="4" fontId="31" fillId="0" borderId="25" xfId="31" applyNumberFormat="1" applyFont="1" applyFill="1" applyBorder="1" applyAlignment="1" applyProtection="1">
      <alignment horizontal="right" vertical="center" wrapText="1"/>
    </xf>
    <xf numFmtId="4" fontId="5" fillId="0" borderId="27" xfId="31" applyNumberFormat="1" applyFont="1" applyFill="1" applyBorder="1" applyAlignment="1" applyProtection="1">
      <alignment horizontal="right" vertical="center" wrapText="1"/>
    </xf>
    <xf numFmtId="0" fontId="29" fillId="0" borderId="28" xfId="31" applyNumberFormat="1" applyFont="1" applyFill="1" applyBorder="1" applyAlignment="1" applyProtection="1">
      <alignment horizontal="right" vertical="center" wrapText="1"/>
    </xf>
    <xf numFmtId="4" fontId="29" fillId="0" borderId="29" xfId="31" applyNumberFormat="1" applyFont="1" applyFill="1" applyBorder="1" applyAlignment="1" applyProtection="1">
      <alignment horizontal="right" vertical="center" wrapText="1"/>
    </xf>
    <xf numFmtId="0" fontId="29" fillId="0" borderId="30" xfId="31" applyNumberFormat="1" applyFont="1" applyFill="1" applyBorder="1" applyAlignment="1" applyProtection="1">
      <alignment horizontal="right" vertical="center" wrapText="1"/>
    </xf>
    <xf numFmtId="0" fontId="29" fillId="0" borderId="31" xfId="31" applyNumberFormat="1" applyFont="1" applyFill="1" applyBorder="1" applyAlignment="1" applyProtection="1">
      <alignment horizontal="left" vertical="center" wrapText="1"/>
    </xf>
    <xf numFmtId="0" fontId="29" fillId="0" borderId="31" xfId="31" applyNumberFormat="1" applyFont="1" applyFill="1" applyBorder="1" applyAlignment="1" applyProtection="1">
      <alignment horizontal="center" vertical="center" wrapText="1"/>
    </xf>
    <xf numFmtId="171" fontId="29" fillId="0" borderId="32" xfId="31" applyNumberFormat="1" applyFont="1" applyFill="1" applyBorder="1" applyAlignment="1" applyProtection="1">
      <alignment horizontal="right" vertical="center" wrapText="1"/>
    </xf>
    <xf numFmtId="4" fontId="29" fillId="0" borderId="31" xfId="31" applyNumberFormat="1" applyFont="1" applyFill="1" applyBorder="1" applyAlignment="1" applyProtection="1">
      <alignment horizontal="right" vertical="center" wrapText="1"/>
    </xf>
    <xf numFmtId="4" fontId="29" fillId="0" borderId="33" xfId="31" applyNumberFormat="1" applyFont="1" applyFill="1" applyBorder="1" applyAlignment="1" applyProtection="1">
      <alignment horizontal="right" vertical="center" wrapText="1"/>
    </xf>
    <xf numFmtId="4" fontId="29" fillId="0" borderId="16" xfId="31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3" fillId="0" borderId="25" xfId="31" applyNumberFormat="1" applyFont="1" applyFill="1" applyBorder="1" applyAlignment="1" applyProtection="1">
      <alignment horizontal="left" vertical="center" wrapText="1"/>
    </xf>
    <xf numFmtId="0" fontId="3" fillId="0" borderId="25" xfId="31" applyNumberFormat="1" applyFont="1" applyFill="1" applyBorder="1" applyAlignment="1" applyProtection="1">
      <alignment horizontal="center" vertical="center" wrapText="1"/>
    </xf>
    <xf numFmtId="171" fontId="3" fillId="0" borderId="25" xfId="31" applyNumberFormat="1" applyFont="1" applyFill="1" applyBorder="1" applyAlignment="1" applyProtection="1">
      <alignment horizontal="right" vertical="center" wrapText="1"/>
    </xf>
    <xf numFmtId="4" fontId="3" fillId="0" borderId="27" xfId="31" applyNumberFormat="1" applyFont="1" applyFill="1" applyBorder="1" applyAlignment="1" applyProtection="1">
      <alignment horizontal="right" vertical="center" wrapText="1"/>
    </xf>
    <xf numFmtId="172" fontId="29" fillId="0" borderId="14" xfId="31" applyNumberFormat="1" applyFont="1" applyFill="1" applyBorder="1" applyAlignment="1" applyProtection="1">
      <alignment horizontal="right" vertical="center" wrapText="1"/>
    </xf>
    <xf numFmtId="172" fontId="29" fillId="0" borderId="31" xfId="31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>
      <alignment vertical="center"/>
    </xf>
    <xf numFmtId="4" fontId="31" fillId="0" borderId="34" xfId="31" applyNumberFormat="1" applyFont="1" applyFill="1" applyBorder="1" applyAlignment="1" applyProtection="1">
      <alignment horizontal="right" vertical="center" wrapText="1"/>
    </xf>
    <xf numFmtId="171" fontId="29" fillId="0" borderId="31" xfId="31" applyNumberFormat="1" applyFont="1" applyFill="1" applyBorder="1" applyAlignment="1" applyProtection="1">
      <alignment horizontal="right" vertical="center" wrapText="1"/>
    </xf>
    <xf numFmtId="4" fontId="29" fillId="0" borderId="35" xfId="31" applyNumberFormat="1" applyFont="1" applyFill="1" applyBorder="1" applyAlignment="1" applyProtection="1">
      <alignment horizontal="center" vertical="center" wrapText="1"/>
    </xf>
    <xf numFmtId="4" fontId="28" fillId="0" borderId="36" xfId="31" applyNumberFormat="1" applyFont="1" applyFill="1" applyBorder="1" applyAlignment="1" applyProtection="1">
      <alignment horizontal="center" vertical="center" wrapText="1"/>
    </xf>
    <xf numFmtId="171" fontId="3" fillId="18" borderId="25" xfId="31" applyNumberFormat="1" applyFont="1" applyFill="1" applyBorder="1" applyAlignment="1" applyProtection="1">
      <alignment horizontal="right" vertical="center" wrapText="1"/>
    </xf>
    <xf numFmtId="4" fontId="3" fillId="0" borderId="37" xfId="31" applyNumberFormat="1" applyFont="1" applyFill="1" applyBorder="1" applyAlignment="1" applyProtection="1">
      <alignment horizontal="right" vertical="center" wrapText="1"/>
    </xf>
    <xf numFmtId="0" fontId="3" fillId="18" borderId="25" xfId="31" applyNumberFormat="1" applyFont="1" applyFill="1" applyBorder="1" applyAlignment="1" applyProtection="1">
      <alignment horizontal="center" vertical="center" wrapText="1"/>
    </xf>
    <xf numFmtId="171" fontId="3" fillId="18" borderId="26" xfId="31" applyNumberFormat="1" applyFont="1" applyFill="1" applyBorder="1" applyAlignment="1" applyProtection="1">
      <alignment horizontal="right" vertical="center" wrapText="1"/>
    </xf>
    <xf numFmtId="4" fontId="31" fillId="18" borderId="25" xfId="31" applyNumberFormat="1" applyFont="1" applyFill="1" applyBorder="1" applyAlignment="1" applyProtection="1">
      <alignment horizontal="right" vertical="center" wrapText="1"/>
    </xf>
    <xf numFmtId="4" fontId="29" fillId="0" borderId="35" xfId="31" applyNumberFormat="1" applyFont="1" applyFill="1" applyBorder="1" applyAlignment="1" applyProtection="1">
      <alignment horizontal="right" vertical="center" wrapText="1"/>
    </xf>
    <xf numFmtId="4" fontId="28" fillId="0" borderId="40" xfId="31" applyNumberFormat="1" applyFont="1" applyFill="1" applyBorder="1" applyAlignment="1" applyProtection="1">
      <alignment horizontal="right" vertical="center" wrapText="1"/>
    </xf>
    <xf numFmtId="4" fontId="29" fillId="0" borderId="40" xfId="31" applyNumberFormat="1" applyFont="1" applyFill="1" applyBorder="1" applyAlignment="1" applyProtection="1">
      <alignment horizontal="right" vertical="center" wrapText="1"/>
    </xf>
    <xf numFmtId="4" fontId="28" fillId="0" borderId="36" xfId="31" applyNumberFormat="1" applyFont="1" applyFill="1" applyBorder="1" applyAlignment="1" applyProtection="1">
      <alignment horizontal="right" vertical="center" wrapText="1"/>
    </xf>
    <xf numFmtId="4" fontId="29" fillId="0" borderId="41" xfId="31" applyNumberFormat="1" applyFont="1" applyFill="1" applyBorder="1" applyAlignment="1" applyProtection="1">
      <alignment horizontal="right" vertical="center" wrapText="1"/>
    </xf>
    <xf numFmtId="4" fontId="28" fillId="0" borderId="42" xfId="31" applyNumberFormat="1" applyFont="1" applyFill="1" applyBorder="1" applyAlignment="1" applyProtection="1">
      <alignment horizontal="right" vertical="center" wrapText="1"/>
    </xf>
    <xf numFmtId="4" fontId="29" fillId="0" borderId="42" xfId="31" applyNumberFormat="1" applyFont="1" applyFill="1" applyBorder="1" applyAlignment="1" applyProtection="1">
      <alignment horizontal="right" vertical="center" wrapText="1"/>
    </xf>
    <xf numFmtId="4" fontId="3" fillId="18" borderId="27" xfId="31" applyNumberFormat="1" applyFont="1" applyFill="1" applyBorder="1" applyAlignment="1" applyProtection="1">
      <alignment horizontal="righ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171" fontId="3" fillId="0" borderId="25" xfId="0" applyNumberFormat="1" applyFont="1" applyFill="1" applyBorder="1" applyAlignment="1">
      <alignment horizontal="right" vertical="center" wrapText="1"/>
    </xf>
    <xf numFmtId="4" fontId="3" fillId="0" borderId="27" xfId="0" applyNumberFormat="1" applyFont="1" applyFill="1" applyBorder="1" applyAlignment="1">
      <alignment horizontal="right" vertical="center" wrapText="1"/>
    </xf>
    <xf numFmtId="4" fontId="29" fillId="0" borderId="29" xfId="0" applyNumberFormat="1" applyFont="1" applyFill="1" applyBorder="1" applyAlignment="1">
      <alignment horizontal="right" vertical="center" wrapText="1"/>
    </xf>
    <xf numFmtId="0" fontId="29" fillId="0" borderId="31" xfId="0" applyFont="1" applyFill="1" applyBorder="1" applyAlignment="1">
      <alignment horizontal="left" vertical="center" wrapText="1"/>
    </xf>
    <xf numFmtId="4" fontId="29" fillId="0" borderId="31" xfId="0" applyNumberFormat="1" applyFont="1" applyFill="1" applyBorder="1" applyAlignment="1">
      <alignment horizontal="right" vertical="center" wrapText="1"/>
    </xf>
    <xf numFmtId="4" fontId="28" fillId="0" borderId="44" xfId="31" applyNumberFormat="1" applyFont="1" applyFill="1" applyBorder="1" applyAlignment="1" applyProtection="1">
      <alignment horizontal="right" vertical="center" wrapText="1"/>
    </xf>
    <xf numFmtId="4" fontId="3" fillId="0" borderId="46" xfId="31" applyNumberFormat="1" applyFont="1" applyFill="1" applyBorder="1" applyAlignment="1" applyProtection="1">
      <alignment horizontal="right" vertical="center" wrapText="1"/>
    </xf>
    <xf numFmtId="171" fontId="3" fillId="0" borderId="26" xfId="31" applyNumberFormat="1" applyFont="1" applyFill="1" applyBorder="1" applyAlignment="1" applyProtection="1">
      <alignment horizontal="right" vertical="center" wrapText="1"/>
    </xf>
    <xf numFmtId="4" fontId="3" fillId="0" borderId="25" xfId="31" applyNumberFormat="1" applyFont="1" applyFill="1" applyBorder="1" applyAlignment="1" applyProtection="1">
      <alignment horizontal="right" vertical="center" wrapText="1"/>
    </xf>
    <xf numFmtId="4" fontId="3" fillId="0" borderId="27" xfId="52" applyNumberFormat="1" applyFont="1" applyFill="1" applyBorder="1" applyAlignment="1" applyProtection="1">
      <alignment horizontal="right" vertical="center" wrapText="1"/>
    </xf>
    <xf numFmtId="0" fontId="3" fillId="0" borderId="34" xfId="31" applyNumberFormat="1" applyFont="1" applyFill="1" applyBorder="1" applyAlignment="1" applyProtection="1">
      <alignment horizontal="left" vertical="center" wrapText="1"/>
    </xf>
    <xf numFmtId="0" fontId="3" fillId="0" borderId="34" xfId="31" applyNumberFormat="1" applyFont="1" applyFill="1" applyBorder="1" applyAlignment="1" applyProtection="1">
      <alignment horizontal="center" vertical="center" wrapText="1"/>
    </xf>
    <xf numFmtId="171" fontId="3" fillId="0" borderId="34" xfId="31" applyNumberFormat="1" applyFont="1" applyFill="1" applyBorder="1" applyAlignment="1" applyProtection="1">
      <alignment horizontal="right" vertical="center" wrapText="1"/>
    </xf>
    <xf numFmtId="2" fontId="4" fillId="0" borderId="0" xfId="0" applyNumberFormat="1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5" fillId="0" borderId="49" xfId="31" applyNumberFormat="1" applyFont="1" applyFill="1" applyBorder="1" applyAlignment="1" applyProtection="1">
      <alignment horizontal="center" vertical="center" wrapText="1"/>
    </xf>
    <xf numFmtId="171" fontId="5" fillId="0" borderId="50" xfId="31" applyNumberFormat="1" applyFont="1" applyFill="1" applyBorder="1" applyAlignment="1" applyProtection="1">
      <alignment horizontal="right" vertical="center" wrapText="1"/>
    </xf>
    <xf numFmtId="0" fontId="3" fillId="0" borderId="25" xfId="0" applyFont="1" applyFill="1" applyBorder="1" applyAlignment="1">
      <alignment horizontal="justify" vertical="center"/>
    </xf>
    <xf numFmtId="171" fontId="3" fillId="0" borderId="4" xfId="31" applyNumberFormat="1" applyFont="1" applyFill="1" applyBorder="1" applyAlignment="1" applyProtection="1">
      <alignment horizontal="right" vertical="center" wrapText="1"/>
    </xf>
    <xf numFmtId="171" fontId="5" fillId="0" borderId="26" xfId="31" applyNumberFormat="1" applyFont="1" applyFill="1" applyBorder="1" applyAlignment="1" applyProtection="1">
      <alignment horizontal="right" vertical="center" wrapText="1"/>
    </xf>
    <xf numFmtId="2" fontId="29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" fontId="3" fillId="0" borderId="52" xfId="0" applyNumberFormat="1" applyFont="1" applyFill="1" applyBorder="1" applyAlignment="1">
      <alignment horizontal="justify" vertical="center"/>
    </xf>
    <xf numFmtId="4" fontId="28" fillId="0" borderId="40" xfId="31" applyNumberFormat="1" applyFont="1" applyFill="1" applyBorder="1" applyAlignment="1" applyProtection="1">
      <alignment horizontal="center" vertical="center" wrapText="1"/>
    </xf>
    <xf numFmtId="4" fontId="29" fillId="0" borderId="40" xfId="31" applyNumberFormat="1" applyFont="1" applyFill="1" applyBorder="1" applyAlignment="1" applyProtection="1">
      <alignment horizontal="center" vertical="center" wrapText="1"/>
    </xf>
    <xf numFmtId="4" fontId="3" fillId="0" borderId="53" xfId="31" applyNumberFormat="1" applyFont="1" applyFill="1" applyBorder="1" applyAlignment="1" applyProtection="1">
      <alignment horizontal="right" vertical="center" wrapText="1"/>
    </xf>
    <xf numFmtId="4" fontId="28" fillId="0" borderId="35" xfId="31" applyNumberFormat="1" applyFont="1" applyFill="1" applyBorder="1" applyAlignment="1" applyProtection="1">
      <alignment horizontal="right" vertical="center" wrapText="1"/>
    </xf>
    <xf numFmtId="171" fontId="3" fillId="18" borderId="4" xfId="31" applyNumberFormat="1" applyFont="1" applyFill="1" applyBorder="1" applyAlignment="1" applyProtection="1">
      <alignment horizontal="right" vertical="center" wrapText="1"/>
    </xf>
    <xf numFmtId="4" fontId="31" fillId="18" borderId="34" xfId="31" applyNumberFormat="1" applyFont="1" applyFill="1" applyBorder="1" applyAlignment="1" applyProtection="1">
      <alignment horizontal="right" vertical="center" wrapText="1"/>
    </xf>
    <xf numFmtId="4" fontId="3" fillId="0" borderId="25" xfId="0" applyNumberFormat="1" applyFont="1" applyFill="1" applyBorder="1" applyAlignment="1">
      <alignment horizontal="justify" vertical="center"/>
    </xf>
    <xf numFmtId="165" fontId="29" fillId="0" borderId="20" xfId="52" applyFont="1" applyFill="1" applyBorder="1" applyAlignment="1" applyProtection="1">
      <alignment horizontal="right" vertical="center" wrapText="1"/>
    </xf>
    <xf numFmtId="165" fontId="29" fillId="0" borderId="32" xfId="52" applyFont="1" applyFill="1" applyBorder="1" applyAlignment="1" applyProtection="1">
      <alignment horizontal="right" vertical="center" wrapText="1"/>
    </xf>
    <xf numFmtId="165" fontId="29" fillId="0" borderId="55" xfId="52" applyFont="1" applyFill="1" applyBorder="1" applyAlignment="1">
      <alignment horizontal="right" wrapText="1"/>
    </xf>
    <xf numFmtId="0" fontId="3" fillId="18" borderId="25" xfId="31" applyNumberFormat="1" applyFont="1" applyFill="1" applyBorder="1" applyAlignment="1" applyProtection="1">
      <alignment horizontal="justify" vertical="center" wrapText="1"/>
    </xf>
    <xf numFmtId="4" fontId="3" fillId="18" borderId="46" xfId="31" applyNumberFormat="1" applyFont="1" applyFill="1" applyBorder="1" applyAlignment="1" applyProtection="1">
      <alignment horizontal="right" vertical="center" wrapText="1"/>
    </xf>
    <xf numFmtId="4" fontId="29" fillId="18" borderId="35" xfId="31" applyNumberFormat="1" applyFont="1" applyFill="1" applyBorder="1" applyAlignment="1" applyProtection="1">
      <alignment horizontal="right" vertical="center" wrapText="1"/>
    </xf>
    <xf numFmtId="4" fontId="29" fillId="0" borderId="35" xfId="31" applyNumberFormat="1" applyFont="1" applyFill="1" applyBorder="1" applyAlignment="1" applyProtection="1">
      <alignment horizontal="right" wrapText="1"/>
    </xf>
    <xf numFmtId="0" fontId="3" fillId="0" borderId="34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center" vertical="center" wrapText="1"/>
    </xf>
    <xf numFmtId="171" fontId="3" fillId="0" borderId="26" xfId="0" applyNumberFormat="1" applyFont="1" applyBorder="1" applyAlignment="1">
      <alignment horizontal="right" vertical="center" wrapText="1"/>
    </xf>
    <xf numFmtId="171" fontId="3" fillId="0" borderId="26" xfId="0" applyNumberFormat="1" applyFont="1" applyFill="1" applyBorder="1" applyAlignment="1">
      <alignment horizontal="right" vertical="center" wrapText="1"/>
    </xf>
    <xf numFmtId="173" fontId="3" fillId="0" borderId="26" xfId="52" applyNumberFormat="1" applyFont="1" applyFill="1" applyBorder="1" applyAlignment="1" applyProtection="1">
      <alignment horizontal="right" vertical="center" wrapText="1"/>
    </xf>
    <xf numFmtId="171" fontId="3" fillId="0" borderId="25" xfId="0" applyNumberFormat="1" applyFont="1" applyBorder="1" applyAlignment="1">
      <alignment horizontal="right" vertical="center" wrapText="1"/>
    </xf>
    <xf numFmtId="0" fontId="5" fillId="0" borderId="34" xfId="31" applyNumberFormat="1" applyFont="1" applyFill="1" applyBorder="1" applyAlignment="1" applyProtection="1">
      <alignment horizontal="left" vertical="center" wrapText="1"/>
    </xf>
    <xf numFmtId="0" fontId="3" fillId="17" borderId="60" xfId="31" applyNumberFormat="1" applyFont="1" applyFill="1" applyBorder="1" applyAlignment="1" applyProtection="1">
      <alignment vertical="center" wrapText="1"/>
    </xf>
    <xf numFmtId="171" fontId="3" fillId="17" borderId="60" xfId="31" applyNumberFormat="1" applyFont="1" applyFill="1" applyBorder="1" applyAlignment="1" applyProtection="1">
      <alignment vertical="center" wrapText="1"/>
    </xf>
    <xf numFmtId="4" fontId="3" fillId="17" borderId="61" xfId="31" applyNumberFormat="1" applyFont="1" applyFill="1" applyBorder="1" applyAlignment="1" applyProtection="1">
      <alignment vertical="center" wrapText="1"/>
    </xf>
    <xf numFmtId="0" fontId="3" fillId="0" borderId="52" xfId="0" applyFont="1" applyFill="1" applyBorder="1" applyAlignment="1">
      <alignment horizontal="justify" vertical="center"/>
    </xf>
    <xf numFmtId="0" fontId="4" fillId="18" borderId="0" xfId="0" applyFont="1" applyFill="1" applyAlignment="1">
      <alignment vertical="center"/>
    </xf>
    <xf numFmtId="4" fontId="29" fillId="0" borderId="41" xfId="31" applyNumberFormat="1" applyFont="1" applyFill="1" applyBorder="1" applyAlignment="1" applyProtection="1">
      <alignment horizontal="right" wrapText="1"/>
    </xf>
    <xf numFmtId="4" fontId="28" fillId="0" borderId="43" xfId="31" applyNumberFormat="1" applyFont="1" applyFill="1" applyBorder="1" applyAlignment="1" applyProtection="1">
      <alignment horizontal="right" vertical="top" wrapText="1"/>
    </xf>
    <xf numFmtId="4" fontId="4" fillId="0" borderId="0" xfId="0" applyNumberFormat="1" applyFont="1" applyFill="1" applyBorder="1" applyAlignment="1">
      <alignment vertical="center"/>
    </xf>
    <xf numFmtId="0" fontId="4" fillId="18" borderId="0" xfId="31" applyFont="1" applyFill="1" applyBorder="1" applyAlignment="1">
      <alignment vertical="center" wrapText="1"/>
    </xf>
    <xf numFmtId="4" fontId="3" fillId="18" borderId="0" xfId="31" applyNumberFormat="1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" fillId="18" borderId="0" xfId="31" applyNumberFormat="1" applyFont="1" applyFill="1" applyBorder="1" applyAlignment="1" applyProtection="1">
      <alignment horizontal="center" vertical="center" wrapText="1"/>
    </xf>
    <xf numFmtId="171" fontId="3" fillId="18" borderId="0" xfId="31" applyNumberFormat="1" applyFont="1" applyFill="1" applyBorder="1" applyAlignment="1" applyProtection="1">
      <alignment horizontal="center" vertical="center" wrapText="1"/>
    </xf>
    <xf numFmtId="2" fontId="30" fillId="0" borderId="0" xfId="0" applyNumberFormat="1" applyFont="1" applyFill="1" applyBorder="1" applyAlignment="1">
      <alignment vertical="center"/>
    </xf>
    <xf numFmtId="175" fontId="4" fillId="0" borderId="0" xfId="0" applyNumberFormat="1" applyFont="1" applyFill="1" applyBorder="1" applyAlignment="1">
      <alignment vertical="center"/>
    </xf>
    <xf numFmtId="0" fontId="3" fillId="0" borderId="49" xfId="31" applyNumberFormat="1" applyFont="1" applyFill="1" applyBorder="1" applyAlignment="1" applyProtection="1">
      <alignment horizontal="center" vertical="center" wrapText="1"/>
    </xf>
    <xf numFmtId="171" fontId="3" fillId="0" borderId="50" xfId="31" applyNumberFormat="1" applyFont="1" applyFill="1" applyBorder="1" applyAlignment="1" applyProtection="1">
      <alignment horizontal="right" vertical="center" wrapText="1"/>
    </xf>
    <xf numFmtId="4" fontId="3" fillId="0" borderId="66" xfId="31" applyNumberFormat="1" applyFont="1" applyFill="1" applyBorder="1" applyAlignment="1" applyProtection="1">
      <alignment horizontal="right" vertical="center" wrapText="1"/>
    </xf>
    <xf numFmtId="4" fontId="29" fillId="0" borderId="35" xfId="0" applyNumberFormat="1" applyFont="1" applyFill="1" applyBorder="1" applyAlignment="1">
      <alignment horizontal="right" vertical="center" wrapText="1"/>
    </xf>
    <xf numFmtId="4" fontId="29" fillId="0" borderId="40" xfId="0" applyNumberFormat="1" applyFont="1" applyFill="1" applyBorder="1" applyAlignment="1">
      <alignment horizontal="right" vertical="center" wrapText="1"/>
    </xf>
    <xf numFmtId="171" fontId="5" fillId="0" borderId="25" xfId="31" applyNumberFormat="1" applyFont="1" applyFill="1" applyBorder="1" applyAlignment="1" applyProtection="1">
      <alignment horizontal="right" vertical="center" wrapText="1"/>
    </xf>
    <xf numFmtId="4" fontId="33" fillId="0" borderId="35" xfId="31" applyNumberFormat="1" applyFont="1" applyFill="1" applyBorder="1" applyAlignment="1" applyProtection="1">
      <alignment horizontal="right" vertical="center" wrapText="1"/>
    </xf>
    <xf numFmtId="4" fontId="33" fillId="0" borderId="40" xfId="31" applyNumberFormat="1" applyFont="1" applyFill="1" applyBorder="1" applyAlignment="1" applyProtection="1">
      <alignment horizontal="right" vertical="center" wrapText="1"/>
    </xf>
    <xf numFmtId="0" fontId="35" fillId="0" borderId="14" xfId="31" applyNumberFormat="1" applyFont="1" applyFill="1" applyBorder="1" applyAlignment="1" applyProtection="1">
      <alignment horizontal="left" vertical="center" wrapText="1"/>
    </xf>
    <xf numFmtId="0" fontId="35" fillId="0" borderId="14" xfId="31" applyNumberFormat="1" applyFont="1" applyFill="1" applyBorder="1" applyAlignment="1" applyProtection="1">
      <alignment horizontal="center" vertical="center" wrapText="1"/>
    </xf>
    <xf numFmtId="171" fontId="35" fillId="0" borderId="14" xfId="31" applyNumberFormat="1" applyFont="1" applyFill="1" applyBorder="1" applyAlignment="1" applyProtection="1">
      <alignment horizontal="right" vertical="center" wrapText="1"/>
    </xf>
    <xf numFmtId="4" fontId="35" fillId="0" borderId="14" xfId="31" applyNumberFormat="1" applyFont="1" applyFill="1" applyBorder="1" applyAlignment="1" applyProtection="1">
      <alignment horizontal="right" vertical="center" wrapText="1"/>
    </xf>
    <xf numFmtId="165" fontId="35" fillId="0" borderId="14" xfId="52" applyFont="1" applyFill="1" applyBorder="1" applyAlignment="1" applyProtection="1">
      <alignment horizontal="right" vertical="center" wrapText="1"/>
    </xf>
    <xf numFmtId="0" fontId="35" fillId="0" borderId="28" xfId="31" applyNumberFormat="1" applyFont="1" applyFill="1" applyBorder="1" applyAlignment="1" applyProtection="1">
      <alignment horizontal="right" vertical="center" wrapText="1"/>
    </xf>
    <xf numFmtId="4" fontId="35" fillId="0" borderId="29" xfId="31" applyNumberFormat="1" applyFont="1" applyFill="1" applyBorder="1" applyAlignment="1" applyProtection="1">
      <alignment horizontal="right" vertical="center" wrapText="1"/>
    </xf>
    <xf numFmtId="4" fontId="37" fillId="0" borderId="25" xfId="31" applyNumberFormat="1" applyFont="1" applyFill="1" applyBorder="1" applyAlignment="1" applyProtection="1">
      <alignment horizontal="right" vertical="center" wrapText="1"/>
    </xf>
    <xf numFmtId="0" fontId="38" fillId="20" borderId="90" xfId="0" applyFont="1" applyFill="1" applyBorder="1" applyAlignment="1">
      <alignment vertical="center" wrapText="1"/>
    </xf>
    <xf numFmtId="0" fontId="38" fillId="20" borderId="0" xfId="0" applyFont="1" applyFill="1" applyBorder="1" applyAlignment="1">
      <alignment vertical="center" wrapText="1"/>
    </xf>
    <xf numFmtId="0" fontId="38" fillId="20" borderId="0" xfId="0" applyFont="1" applyFill="1" applyBorder="1" applyAlignment="1">
      <alignment horizontal="center" vertical="center" wrapText="1"/>
    </xf>
    <xf numFmtId="171" fontId="5" fillId="0" borderId="25" xfId="31" applyNumberFormat="1" applyFont="1" applyBorder="1" applyAlignment="1" applyProtection="1">
      <alignment horizontal="right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31" applyNumberFormat="1" applyFont="1" applyFill="1" applyBorder="1" applyAlignment="1" applyProtection="1">
      <alignment horizontal="center" vertical="center"/>
    </xf>
    <xf numFmtId="4" fontId="4" fillId="0" borderId="0" xfId="31" applyNumberFormat="1" applyFont="1" applyFill="1" applyBorder="1" applyAlignment="1">
      <alignment horizontal="center" vertical="center" wrapText="1"/>
    </xf>
    <xf numFmtId="4" fontId="3" fillId="0" borderId="0" xfId="31" applyNumberFormat="1" applyFont="1" applyFill="1" applyBorder="1" applyAlignment="1" applyProtection="1">
      <alignment horizontal="center" vertical="center" wrapText="1"/>
    </xf>
    <xf numFmtId="4" fontId="4" fillId="0" borderId="0" xfId="31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4" fontId="4" fillId="0" borderId="0" xfId="31" applyNumberFormat="1" applyFont="1" applyFill="1" applyBorder="1" applyAlignment="1" applyProtection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0" borderId="0" xfId="31" applyNumberFormat="1" applyFont="1" applyBorder="1" applyAlignment="1" applyProtection="1">
      <alignment horizontal="center" vertical="center" wrapText="1"/>
    </xf>
    <xf numFmtId="4" fontId="6" fillId="18" borderId="0" xfId="31" applyNumberFormat="1" applyFont="1" applyFill="1" applyBorder="1" applyAlignment="1" applyProtection="1">
      <alignment horizontal="center" vertical="center" wrapText="1"/>
    </xf>
    <xf numFmtId="4" fontId="4" fillId="0" borderId="0" xfId="31" applyNumberFormat="1" applyFont="1" applyBorder="1" applyAlignment="1" applyProtection="1">
      <alignment horizontal="center" vertical="center" wrapText="1"/>
    </xf>
    <xf numFmtId="4" fontId="4" fillId="0" borderId="0" xfId="31" applyNumberFormat="1" applyFont="1" applyFill="1" applyBorder="1" applyAlignment="1" applyProtection="1">
      <alignment horizontal="center" vertical="center"/>
    </xf>
    <xf numFmtId="4" fontId="6" fillId="0" borderId="0" xfId="31" applyNumberFormat="1" applyFont="1" applyFill="1" applyBorder="1" applyAlignment="1" applyProtection="1">
      <alignment horizontal="center" vertical="center" wrapText="1"/>
    </xf>
    <xf numFmtId="4" fontId="29" fillId="0" borderId="0" xfId="31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4" fillId="0" borderId="0" xfId="52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0" fontId="5" fillId="0" borderId="70" xfId="31" applyNumberFormat="1" applyFont="1" applyFill="1" applyBorder="1" applyAlignment="1" applyProtection="1">
      <alignment horizontal="left" vertical="center" wrapText="1"/>
    </xf>
    <xf numFmtId="0" fontId="5" fillId="18" borderId="70" xfId="31" applyNumberFormat="1" applyFont="1" applyFill="1" applyBorder="1" applyAlignment="1" applyProtection="1">
      <alignment horizontal="left" vertical="center" wrapText="1"/>
    </xf>
    <xf numFmtId="0" fontId="5" fillId="0" borderId="75" xfId="31" applyNumberFormat="1" applyFont="1" applyFill="1" applyBorder="1" applyAlignment="1" applyProtection="1">
      <alignment horizontal="left" vertical="center" wrapText="1"/>
    </xf>
    <xf numFmtId="0" fontId="5" fillId="0" borderId="75" xfId="31" applyNumberFormat="1" applyFont="1" applyFill="1" applyBorder="1" applyAlignment="1" applyProtection="1">
      <alignment horizontal="center" vertical="center" wrapText="1"/>
    </xf>
    <xf numFmtId="171" fontId="5" fillId="0" borderId="75" xfId="31" applyNumberFormat="1" applyFont="1" applyFill="1" applyBorder="1" applyAlignment="1" applyProtection="1">
      <alignment horizontal="right" vertical="center" wrapText="1"/>
    </xf>
    <xf numFmtId="4" fontId="31" fillId="0" borderId="75" xfId="31" applyNumberFormat="1" applyFont="1" applyFill="1" applyBorder="1" applyAlignment="1" applyProtection="1">
      <alignment horizontal="right" vertical="center" wrapText="1"/>
    </xf>
    <xf numFmtId="4" fontId="3" fillId="0" borderId="76" xfId="31" applyNumberFormat="1" applyFont="1" applyFill="1" applyBorder="1" applyAlignment="1" applyProtection="1">
      <alignment horizontal="right" vertical="center" wrapText="1"/>
    </xf>
    <xf numFmtId="2" fontId="6" fillId="0" borderId="0" xfId="0" applyNumberFormat="1" applyFont="1" applyFill="1" applyBorder="1" applyAlignment="1">
      <alignment vertical="center"/>
    </xf>
    <xf numFmtId="0" fontId="39" fillId="0" borderId="25" xfId="31" applyNumberFormat="1" applyFont="1" applyFill="1" applyBorder="1" applyAlignment="1" applyProtection="1">
      <alignment horizontal="left" vertical="center" wrapText="1"/>
    </xf>
    <xf numFmtId="0" fontId="29" fillId="0" borderId="85" xfId="31" applyNumberFormat="1" applyFont="1" applyFill="1" applyBorder="1" applyAlignment="1" applyProtection="1">
      <alignment horizontal="right" vertical="center" wrapText="1"/>
    </xf>
    <xf numFmtId="0" fontId="29" fillId="0" borderId="49" xfId="31" applyNumberFormat="1" applyFont="1" applyFill="1" applyBorder="1" applyAlignment="1" applyProtection="1">
      <alignment horizontal="left" vertical="center" wrapText="1"/>
    </xf>
    <xf numFmtId="0" fontId="29" fillId="0" borderId="49" xfId="31" applyNumberFormat="1" applyFont="1" applyFill="1" applyBorder="1" applyAlignment="1" applyProtection="1">
      <alignment horizontal="center" vertical="center" wrapText="1"/>
    </xf>
    <xf numFmtId="171" fontId="29" fillId="0" borderId="50" xfId="31" applyNumberFormat="1" applyFont="1" applyFill="1" applyBorder="1" applyAlignment="1" applyProtection="1">
      <alignment horizontal="right" vertical="center" wrapText="1"/>
    </xf>
    <xf numFmtId="4" fontId="29" fillId="0" borderId="49" xfId="31" applyNumberFormat="1" applyFont="1" applyFill="1" applyBorder="1" applyAlignment="1" applyProtection="1">
      <alignment horizontal="right" vertical="center" wrapText="1"/>
    </xf>
    <xf numFmtId="4" fontId="29" fillId="0" borderId="86" xfId="31" applyNumberFormat="1" applyFont="1" applyFill="1" applyBorder="1" applyAlignment="1" applyProtection="1">
      <alignment horizontal="right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4" fontId="40" fillId="0" borderId="0" xfId="0" applyNumberFormat="1" applyFont="1" applyAlignment="1">
      <alignment horizontal="center" vertical="center"/>
    </xf>
    <xf numFmtId="4" fontId="41" fillId="0" borderId="70" xfId="0" applyNumberFormat="1" applyFont="1" applyFill="1" applyBorder="1" applyAlignment="1">
      <alignment horizontal="justify" vertical="center"/>
    </xf>
    <xf numFmtId="4" fontId="3" fillId="0" borderId="0" xfId="0" applyNumberFormat="1" applyFont="1" applyFill="1" applyAlignment="1">
      <alignment horizontal="center" vertical="center"/>
    </xf>
    <xf numFmtId="4" fontId="41" fillId="0" borderId="70" xfId="31" applyNumberFormat="1" applyFont="1" applyFill="1" applyBorder="1" applyAlignment="1" applyProtection="1">
      <alignment horizontal="right" vertical="center" wrapText="1"/>
    </xf>
    <xf numFmtId="4" fontId="36" fillId="0" borderId="0" xfId="0" applyNumberFormat="1" applyFont="1" applyFill="1" applyAlignment="1">
      <alignment horizontal="center" vertical="center"/>
    </xf>
    <xf numFmtId="165" fontId="5" fillId="0" borderId="25" xfId="52" applyFont="1" applyFill="1" applyBorder="1" applyAlignment="1" applyProtection="1">
      <alignment horizontal="right" vertical="center" wrapText="1"/>
    </xf>
    <xf numFmtId="0" fontId="5" fillId="0" borderId="70" xfId="0" applyFont="1" applyFill="1" applyBorder="1" applyAlignment="1">
      <alignment horizontal="left" vertical="center" wrapText="1"/>
    </xf>
    <xf numFmtId="173" fontId="3" fillId="0" borderId="25" xfId="52" applyNumberFormat="1" applyFont="1" applyFill="1" applyBorder="1" applyAlignment="1" applyProtection="1">
      <alignment horizontal="right" vertical="center" wrapText="1"/>
    </xf>
    <xf numFmtId="4" fontId="29" fillId="0" borderId="35" xfId="31" applyNumberFormat="1" applyFont="1" applyFill="1" applyBorder="1" applyAlignment="1" applyProtection="1">
      <alignment horizontal="center" wrapText="1"/>
    </xf>
    <xf numFmtId="171" fontId="29" fillId="0" borderId="0" xfId="31" applyNumberFormat="1" applyFont="1" applyFill="1" applyBorder="1" applyAlignment="1" applyProtection="1">
      <alignment horizontal="right" vertical="center" wrapText="1"/>
    </xf>
    <xf numFmtId="0" fontId="5" fillId="0" borderId="70" xfId="31" quotePrefix="1" applyNumberFormat="1" applyFont="1" applyFill="1" applyBorder="1" applyAlignment="1" applyProtection="1">
      <alignment horizontal="left" vertical="center" wrapText="1"/>
    </xf>
    <xf numFmtId="4" fontId="35" fillId="0" borderId="14" xfId="0" applyNumberFormat="1" applyFont="1" applyFill="1" applyBorder="1" applyAlignment="1">
      <alignment horizontal="right" vertical="center" wrapText="1"/>
    </xf>
    <xf numFmtId="0" fontId="42" fillId="0" borderId="25" xfId="31" applyNumberFormat="1" applyFont="1" applyFill="1" applyBorder="1" applyAlignment="1" applyProtection="1">
      <alignment horizontal="left" vertical="center" wrapText="1"/>
    </xf>
    <xf numFmtId="165" fontId="35" fillId="0" borderId="29" xfId="52" applyFont="1" applyFill="1" applyBorder="1" applyAlignment="1" applyProtection="1">
      <alignment horizontal="right" vertical="center" wrapText="1"/>
    </xf>
    <xf numFmtId="0" fontId="5" fillId="0" borderId="25" xfId="31" applyNumberFormat="1" applyFont="1" applyFill="1" applyBorder="1" applyAlignment="1" applyProtection="1">
      <alignment horizontal="left" vertical="top" wrapText="1"/>
    </xf>
    <xf numFmtId="171" fontId="35" fillId="18" borderId="14" xfId="31" applyNumberFormat="1" applyFont="1" applyFill="1" applyBorder="1" applyAlignment="1" applyProtection="1">
      <alignment horizontal="right" vertical="top" wrapText="1"/>
    </xf>
    <xf numFmtId="4" fontId="35" fillId="18" borderId="14" xfId="31" applyNumberFormat="1" applyFont="1" applyFill="1" applyBorder="1" applyAlignment="1" applyProtection="1">
      <alignment horizontal="right" vertical="center" wrapText="1"/>
    </xf>
    <xf numFmtId="0" fontId="41" fillId="0" borderId="25" xfId="31" applyNumberFormat="1" applyFont="1" applyFill="1" applyBorder="1" applyAlignment="1" applyProtection="1">
      <alignment horizontal="left" vertical="center" wrapText="1"/>
    </xf>
    <xf numFmtId="171" fontId="35" fillId="18" borderId="14" xfId="31" applyNumberFormat="1" applyFont="1" applyFill="1" applyBorder="1" applyAlignment="1" applyProtection="1">
      <alignment horizontal="right" vertical="center" wrapText="1"/>
    </xf>
    <xf numFmtId="0" fontId="6" fillId="0" borderId="28" xfId="31" applyNumberFormat="1" applyFont="1" applyFill="1" applyBorder="1" applyAlignment="1" applyProtection="1">
      <alignment horizontal="right" vertical="center" wrapText="1"/>
    </xf>
    <xf numFmtId="0" fontId="6" fillId="0" borderId="14" xfId="31" applyNumberFormat="1" applyFont="1" applyFill="1" applyBorder="1" applyAlignment="1" applyProtection="1">
      <alignment horizontal="left" vertical="center" wrapText="1"/>
    </xf>
    <xf numFmtId="0" fontId="6" fillId="0" borderId="14" xfId="31" applyNumberFormat="1" applyFont="1" applyFill="1" applyBorder="1" applyAlignment="1" applyProtection="1">
      <alignment horizontal="center" vertical="center" wrapText="1"/>
    </xf>
    <xf numFmtId="171" fontId="6" fillId="0" borderId="20" xfId="31" applyNumberFormat="1" applyFont="1" applyFill="1" applyBorder="1" applyAlignment="1" applyProtection="1">
      <alignment horizontal="right" vertical="center" wrapText="1"/>
    </xf>
    <xf numFmtId="4" fontId="6" fillId="0" borderId="14" xfId="31" applyNumberFormat="1" applyFont="1" applyFill="1" applyBorder="1" applyAlignment="1" applyProtection="1">
      <alignment horizontal="right" vertical="center" wrapText="1"/>
    </xf>
    <xf numFmtId="4" fontId="6" fillId="0" borderId="16" xfId="31" applyNumberFormat="1" applyFont="1" applyFill="1" applyBorder="1" applyAlignment="1" applyProtection="1">
      <alignment horizontal="right" vertical="center" wrapText="1"/>
    </xf>
    <xf numFmtId="4" fontId="6" fillId="0" borderId="29" xfId="31" applyNumberFormat="1" applyFont="1" applyFill="1" applyBorder="1" applyAlignment="1" applyProtection="1">
      <alignment horizontal="right" vertical="center" wrapText="1"/>
    </xf>
    <xf numFmtId="0" fontId="6" fillId="0" borderId="30" xfId="31" applyNumberFormat="1" applyFont="1" applyFill="1" applyBorder="1" applyAlignment="1" applyProtection="1">
      <alignment horizontal="right" vertical="center" wrapText="1"/>
    </xf>
    <xf numFmtId="0" fontId="6" fillId="0" borderId="31" xfId="31" applyNumberFormat="1" applyFont="1" applyFill="1" applyBorder="1" applyAlignment="1" applyProtection="1">
      <alignment horizontal="center" vertical="center" wrapText="1"/>
    </xf>
    <xf numFmtId="171" fontId="6" fillId="0" borderId="32" xfId="31" applyNumberFormat="1" applyFont="1" applyFill="1" applyBorder="1" applyAlignment="1" applyProtection="1">
      <alignment horizontal="right" vertical="center" wrapText="1"/>
    </xf>
    <xf numFmtId="4" fontId="6" fillId="0" borderId="31" xfId="31" applyNumberFormat="1" applyFont="1" applyFill="1" applyBorder="1" applyAlignment="1" applyProtection="1">
      <alignment horizontal="right" vertical="center" wrapText="1"/>
    </xf>
    <xf numFmtId="4" fontId="6" fillId="0" borderId="33" xfId="31" applyNumberFormat="1" applyFont="1" applyFill="1" applyBorder="1" applyAlignment="1" applyProtection="1">
      <alignment horizontal="right" vertical="center" wrapText="1"/>
    </xf>
    <xf numFmtId="0" fontId="6" fillId="0" borderId="31" xfId="31" applyNumberFormat="1" applyFont="1" applyFill="1" applyBorder="1" applyAlignment="1" applyProtection="1">
      <alignment horizontal="left" vertical="center" wrapText="1"/>
    </xf>
    <xf numFmtId="4" fontId="28" fillId="21" borderId="40" xfId="31" applyNumberFormat="1" applyFont="1" applyFill="1" applyBorder="1" applyAlignment="1" applyProtection="1">
      <alignment horizontal="center" vertical="center" wrapText="1"/>
    </xf>
    <xf numFmtId="4" fontId="28" fillId="21" borderId="36" xfId="31" applyNumberFormat="1" applyFont="1" applyFill="1" applyBorder="1" applyAlignment="1" applyProtection="1">
      <alignment horizontal="center" vertical="center" wrapText="1"/>
    </xf>
    <xf numFmtId="174" fontId="6" fillId="0" borderId="0" xfId="0" applyNumberFormat="1" applyFont="1" applyFill="1" applyBorder="1" applyAlignment="1">
      <alignment vertical="center"/>
    </xf>
    <xf numFmtId="4" fontId="28" fillId="21" borderId="40" xfId="31" applyNumberFormat="1" applyFont="1" applyFill="1" applyBorder="1" applyAlignment="1" applyProtection="1">
      <alignment horizontal="right" vertical="center" wrapText="1"/>
    </xf>
    <xf numFmtId="4" fontId="28" fillId="21" borderId="36" xfId="31" applyNumberFormat="1" applyFont="1" applyFill="1" applyBorder="1" applyAlignment="1" applyProtection="1">
      <alignment horizontal="right" vertical="center" wrapText="1"/>
    </xf>
    <xf numFmtId="0" fontId="6" fillId="0" borderId="28" xfId="0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171" fontId="6" fillId="0" borderId="20" xfId="31" applyNumberFormat="1" applyFont="1" applyBorder="1" applyAlignment="1" applyProtection="1">
      <alignment horizontal="right" vertical="center" wrapText="1"/>
    </xf>
    <xf numFmtId="4" fontId="6" fillId="0" borderId="14" xfId="0" applyNumberFormat="1" applyFont="1" applyFill="1" applyBorder="1" applyAlignment="1">
      <alignment horizontal="right" vertical="center" wrapText="1"/>
    </xf>
    <xf numFmtId="4" fontId="6" fillId="0" borderId="29" xfId="0" applyNumberFormat="1" applyFont="1" applyFill="1" applyBorder="1" applyAlignment="1">
      <alignment horizontal="right" vertical="center" wrapText="1"/>
    </xf>
    <xf numFmtId="4" fontId="4" fillId="21" borderId="0" xfId="31" applyNumberFormat="1" applyFont="1" applyFill="1" applyBorder="1" applyAlignment="1" applyProtection="1">
      <alignment horizontal="center" vertical="center" wrapText="1"/>
    </xf>
    <xf numFmtId="0" fontId="6" fillId="0" borderId="14" xfId="0" applyFont="1" applyBorder="1"/>
    <xf numFmtId="0" fontId="43" fillId="0" borderId="14" xfId="0" applyFont="1" applyBorder="1" applyAlignment="1">
      <alignment horizontal="center"/>
    </xf>
    <xf numFmtId="171" fontId="6" fillId="0" borderId="14" xfId="0" applyNumberFormat="1" applyFont="1" applyBorder="1"/>
    <xf numFmtId="0" fontId="6" fillId="0" borderId="14" xfId="0" applyFont="1" applyBorder="1" applyAlignment="1">
      <alignment horizontal="justify"/>
    </xf>
    <xf numFmtId="0" fontId="6" fillId="18" borderId="28" xfId="31" applyNumberFormat="1" applyFont="1" applyFill="1" applyBorder="1" applyAlignment="1" applyProtection="1">
      <alignment horizontal="right" vertical="center" wrapText="1"/>
    </xf>
    <xf numFmtId="0" fontId="6" fillId="18" borderId="14" xfId="31" applyNumberFormat="1" applyFont="1" applyFill="1" applyBorder="1" applyAlignment="1" applyProtection="1">
      <alignment horizontal="left" vertical="center" wrapText="1"/>
    </xf>
    <xf numFmtId="4" fontId="31" fillId="21" borderId="25" xfId="31" applyNumberFormat="1" applyFont="1" applyFill="1" applyBorder="1" applyAlignment="1" applyProtection="1">
      <alignment horizontal="right" vertical="center" wrapText="1"/>
    </xf>
    <xf numFmtId="4" fontId="29" fillId="19" borderId="40" xfId="31" applyNumberFormat="1" applyFont="1" applyFill="1" applyBorder="1" applyAlignment="1" applyProtection="1">
      <alignment horizontal="right" vertical="center" wrapText="1"/>
    </xf>
    <xf numFmtId="171" fontId="6" fillId="0" borderId="20" xfId="31" applyNumberFormat="1" applyFont="1" applyFill="1" applyBorder="1" applyAlignment="1" applyProtection="1">
      <alignment horizontal="right" vertical="top" wrapText="1"/>
    </xf>
    <xf numFmtId="0" fontId="6" fillId="0" borderId="14" xfId="31" applyNumberFormat="1" applyFont="1" applyFill="1" applyBorder="1" applyAlignment="1" applyProtection="1">
      <alignment horizontal="right" vertical="center" wrapText="1"/>
    </xf>
    <xf numFmtId="171" fontId="6" fillId="0" borderId="32" xfId="31" applyNumberFormat="1" applyFont="1" applyFill="1" applyBorder="1" applyAlignment="1" applyProtection="1">
      <alignment horizontal="right" vertical="top" wrapText="1"/>
    </xf>
    <xf numFmtId="0" fontId="6" fillId="0" borderId="14" xfId="31" applyNumberFormat="1" applyFont="1" applyFill="1" applyBorder="1" applyAlignment="1" applyProtection="1">
      <alignment horizontal="justify" vertical="center" wrapText="1"/>
    </xf>
    <xf numFmtId="171" fontId="6" fillId="0" borderId="14" xfId="31" applyNumberFormat="1" applyFont="1" applyFill="1" applyBorder="1" applyAlignment="1" applyProtection="1">
      <alignment horizontal="right" vertical="center" wrapText="1"/>
    </xf>
    <xf numFmtId="0" fontId="6" fillId="0" borderId="57" xfId="31" applyNumberFormat="1" applyFont="1" applyFill="1" applyBorder="1" applyAlignment="1" applyProtection="1">
      <alignment horizontal="right" vertical="center" wrapText="1"/>
    </xf>
    <xf numFmtId="0" fontId="6" fillId="0" borderId="22" xfId="31" applyNumberFormat="1" applyFont="1" applyFill="1" applyBorder="1" applyAlignment="1" applyProtection="1">
      <alignment horizontal="left" vertical="center" wrapText="1"/>
    </xf>
    <xf numFmtId="0" fontId="6" fillId="0" borderId="22" xfId="31" applyNumberFormat="1" applyFont="1" applyFill="1" applyBorder="1" applyAlignment="1" applyProtection="1">
      <alignment horizontal="center" vertical="center" wrapText="1"/>
    </xf>
    <xf numFmtId="171" fontId="6" fillId="0" borderId="22" xfId="31" applyNumberFormat="1" applyFont="1" applyFill="1" applyBorder="1" applyAlignment="1" applyProtection="1">
      <alignment horizontal="right" vertical="center" wrapText="1"/>
    </xf>
    <xf numFmtId="4" fontId="6" fillId="0" borderId="22" xfId="31" applyNumberFormat="1" applyFont="1" applyFill="1" applyBorder="1" applyAlignment="1" applyProtection="1">
      <alignment horizontal="right" vertical="center" wrapText="1"/>
    </xf>
    <xf numFmtId="4" fontId="6" fillId="0" borderId="58" xfId="31" applyNumberFormat="1" applyFont="1" applyFill="1" applyBorder="1" applyAlignment="1" applyProtection="1">
      <alignment horizontal="right" vertical="center" wrapText="1"/>
    </xf>
    <xf numFmtId="0" fontId="6" fillId="0" borderId="77" xfId="31" applyNumberFormat="1" applyFont="1" applyFill="1" applyBorder="1" applyAlignment="1" applyProtection="1">
      <alignment horizontal="right" vertical="center" wrapText="1"/>
    </xf>
    <xf numFmtId="0" fontId="6" fillId="0" borderId="70" xfId="31" applyNumberFormat="1" applyFont="1" applyFill="1" applyBorder="1" applyAlignment="1" applyProtection="1">
      <alignment horizontal="left" vertical="center" wrapText="1"/>
    </xf>
    <xf numFmtId="0" fontId="6" fillId="0" borderId="70" xfId="31" applyNumberFormat="1" applyFont="1" applyFill="1" applyBorder="1" applyAlignment="1" applyProtection="1">
      <alignment horizontal="center" vertical="center" wrapText="1"/>
    </xf>
    <xf numFmtId="171" fontId="6" fillId="0" borderId="70" xfId="31" applyNumberFormat="1" applyFont="1" applyFill="1" applyBorder="1" applyAlignment="1" applyProtection="1">
      <alignment horizontal="right" vertical="center" wrapText="1"/>
    </xf>
    <xf numFmtId="4" fontId="6" fillId="0" borderId="70" xfId="31" applyNumberFormat="1" applyFont="1" applyFill="1" applyBorder="1" applyAlignment="1" applyProtection="1">
      <alignment horizontal="right" vertical="center" wrapText="1"/>
    </xf>
    <xf numFmtId="4" fontId="6" fillId="0" borderId="78" xfId="31" applyNumberFormat="1" applyFont="1" applyFill="1" applyBorder="1" applyAlignment="1" applyProtection="1">
      <alignment horizontal="right" vertical="center" wrapText="1"/>
    </xf>
    <xf numFmtId="0" fontId="6" fillId="0" borderId="79" xfId="31" applyNumberFormat="1" applyFont="1" applyFill="1" applyBorder="1" applyAlignment="1" applyProtection="1">
      <alignment horizontal="right" vertical="center" wrapText="1"/>
    </xf>
    <xf numFmtId="0" fontId="6" fillId="0" borderId="80" xfId="31" applyNumberFormat="1" applyFont="1" applyFill="1" applyBorder="1" applyAlignment="1" applyProtection="1">
      <alignment horizontal="left" vertical="center" wrapText="1"/>
    </xf>
    <xf numFmtId="0" fontId="6" fillId="0" borderId="80" xfId="31" applyNumberFormat="1" applyFont="1" applyFill="1" applyBorder="1" applyAlignment="1" applyProtection="1">
      <alignment horizontal="center" vertical="center" wrapText="1"/>
    </xf>
    <xf numFmtId="171" fontId="6" fillId="0" borderId="80" xfId="31" applyNumberFormat="1" applyFont="1" applyFill="1" applyBorder="1" applyAlignment="1" applyProtection="1">
      <alignment horizontal="right" vertical="center" wrapText="1"/>
    </xf>
    <xf numFmtId="4" fontId="6" fillId="0" borderId="80" xfId="31" applyNumberFormat="1" applyFont="1" applyFill="1" applyBorder="1" applyAlignment="1" applyProtection="1">
      <alignment horizontal="right" vertical="center" wrapText="1"/>
    </xf>
    <xf numFmtId="4" fontId="6" fillId="0" borderId="81" xfId="31" applyNumberFormat="1" applyFont="1" applyFill="1" applyBorder="1" applyAlignment="1" applyProtection="1">
      <alignment horizontal="right" vertical="center" wrapText="1"/>
    </xf>
    <xf numFmtId="0" fontId="6" fillId="0" borderId="68" xfId="31" applyNumberFormat="1" applyFont="1" applyFill="1" applyBorder="1" applyAlignment="1" applyProtection="1">
      <alignment horizontal="right" vertical="center" wrapText="1"/>
    </xf>
    <xf numFmtId="0" fontId="6" fillId="0" borderId="34" xfId="31" applyNumberFormat="1" applyFont="1" applyFill="1" applyBorder="1" applyAlignment="1" applyProtection="1">
      <alignment horizontal="left" vertical="center" wrapText="1"/>
    </xf>
    <xf numFmtId="0" fontId="6" fillId="0" borderId="34" xfId="31" applyNumberFormat="1" applyFont="1" applyFill="1" applyBorder="1" applyAlignment="1" applyProtection="1">
      <alignment horizontal="center" vertical="center" wrapText="1"/>
    </xf>
    <xf numFmtId="171" fontId="6" fillId="0" borderId="4" xfId="31" applyNumberFormat="1" applyFont="1" applyFill="1" applyBorder="1" applyAlignment="1" applyProtection="1">
      <alignment horizontal="right" vertical="center" wrapText="1"/>
    </xf>
    <xf numFmtId="4" fontId="6" fillId="0" borderId="34" xfId="31" applyNumberFormat="1" applyFont="1" applyFill="1" applyBorder="1" applyAlignment="1" applyProtection="1">
      <alignment horizontal="right" vertical="center" wrapText="1"/>
    </xf>
    <xf numFmtId="0" fontId="6" fillId="0" borderId="82" xfId="31" applyNumberFormat="1" applyFont="1" applyFill="1" applyBorder="1" applyAlignment="1" applyProtection="1">
      <alignment horizontal="right" vertical="center" wrapText="1"/>
    </xf>
    <xf numFmtId="0" fontId="6" fillId="0" borderId="83" xfId="31" applyNumberFormat="1" applyFont="1" applyFill="1" applyBorder="1" applyAlignment="1" applyProtection="1">
      <alignment horizontal="left" vertical="center" wrapText="1"/>
    </xf>
    <xf numFmtId="0" fontId="6" fillId="0" borderId="83" xfId="31" applyNumberFormat="1" applyFont="1" applyFill="1" applyBorder="1" applyAlignment="1" applyProtection="1">
      <alignment horizontal="center" vertical="center" wrapText="1"/>
    </xf>
    <xf numFmtId="171" fontId="6" fillId="0" borderId="84" xfId="31" applyNumberFormat="1" applyFont="1" applyFill="1" applyBorder="1" applyAlignment="1" applyProtection="1">
      <alignment horizontal="right" vertical="center" wrapText="1"/>
    </xf>
    <xf numFmtId="4" fontId="6" fillId="0" borderId="83" xfId="31" applyNumberFormat="1" applyFont="1" applyFill="1" applyBorder="1" applyAlignment="1" applyProtection="1">
      <alignment horizontal="right" vertical="center" wrapText="1"/>
    </xf>
    <xf numFmtId="4" fontId="6" fillId="0" borderId="47" xfId="31" applyNumberFormat="1" applyFont="1" applyFill="1" applyBorder="1" applyAlignment="1" applyProtection="1">
      <alignment horizontal="right" vertical="center" wrapText="1"/>
    </xf>
    <xf numFmtId="171" fontId="6" fillId="0" borderId="31" xfId="31" applyNumberFormat="1" applyFont="1" applyFill="1" applyBorder="1" applyAlignment="1" applyProtection="1">
      <alignment horizontal="right" vertical="center" wrapText="1"/>
    </xf>
    <xf numFmtId="0" fontId="6" fillId="0" borderId="22" xfId="31" applyNumberFormat="1" applyFont="1" applyFill="1" applyBorder="1" applyAlignment="1" applyProtection="1">
      <alignment horizontal="justify" vertical="center" wrapText="1"/>
    </xf>
    <xf numFmtId="0" fontId="38" fillId="23" borderId="90" xfId="0" applyFont="1" applyFill="1" applyBorder="1" applyAlignment="1">
      <alignment wrapText="1"/>
    </xf>
    <xf numFmtId="0" fontId="38" fillId="20" borderId="90" xfId="0" applyFont="1" applyFill="1" applyBorder="1" applyAlignment="1">
      <alignment wrapText="1"/>
    </xf>
    <xf numFmtId="4" fontId="6" fillId="0" borderId="0" xfId="0" applyNumberFormat="1" applyFont="1" applyFill="1" applyBorder="1" applyAlignment="1">
      <alignment horizontal="justify" vertical="center"/>
    </xf>
    <xf numFmtId="4" fontId="28" fillId="21" borderId="43" xfId="31" applyNumberFormat="1" applyFont="1" applyFill="1" applyBorder="1" applyAlignment="1" applyProtection="1">
      <alignment horizontal="right" vertical="center" wrapText="1"/>
    </xf>
    <xf numFmtId="4" fontId="28" fillId="21" borderId="42" xfId="31" applyNumberFormat="1" applyFont="1" applyFill="1" applyBorder="1" applyAlignment="1" applyProtection="1">
      <alignment horizontal="right" vertical="center" wrapText="1"/>
    </xf>
    <xf numFmtId="0" fontId="6" fillId="0" borderId="30" xfId="0" applyFont="1" applyFill="1" applyBorder="1" applyAlignment="1">
      <alignment horizontal="right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center" vertical="center" wrapText="1"/>
    </xf>
    <xf numFmtId="171" fontId="6" fillId="0" borderId="31" xfId="0" applyNumberFormat="1" applyFont="1" applyFill="1" applyBorder="1" applyAlignment="1">
      <alignment horizontal="right" vertical="center" wrapText="1"/>
    </xf>
    <xf numFmtId="4" fontId="6" fillId="0" borderId="31" xfId="0" applyNumberFormat="1" applyFont="1" applyFill="1" applyBorder="1" applyAlignment="1">
      <alignment horizontal="right" vertical="center" wrapText="1"/>
    </xf>
    <xf numFmtId="4" fontId="6" fillId="0" borderId="33" xfId="0" applyNumberFormat="1" applyFont="1" applyFill="1" applyBorder="1" applyAlignment="1">
      <alignment horizontal="right" vertical="center" wrapText="1"/>
    </xf>
    <xf numFmtId="4" fontId="6" fillId="0" borderId="39" xfId="0" applyNumberFormat="1" applyFont="1" applyFill="1" applyBorder="1" applyAlignment="1">
      <alignment horizontal="justify" vertical="center"/>
    </xf>
    <xf numFmtId="171" fontId="6" fillId="18" borderId="20" xfId="31" applyNumberFormat="1" applyFont="1" applyFill="1" applyBorder="1" applyAlignment="1" applyProtection="1">
      <alignment horizontal="right" vertical="top" wrapText="1"/>
    </xf>
    <xf numFmtId="4" fontId="6" fillId="18" borderId="14" xfId="31" applyNumberFormat="1" applyFont="1" applyFill="1" applyBorder="1" applyAlignment="1" applyProtection="1">
      <alignment horizontal="right" vertical="center" wrapText="1"/>
    </xf>
    <xf numFmtId="171" fontId="6" fillId="18" borderId="32" xfId="31" applyNumberFormat="1" applyFont="1" applyFill="1" applyBorder="1" applyAlignment="1" applyProtection="1">
      <alignment horizontal="right" vertical="center" wrapText="1"/>
    </xf>
    <xf numFmtId="4" fontId="6" fillId="18" borderId="31" xfId="31" applyNumberFormat="1" applyFont="1" applyFill="1" applyBorder="1" applyAlignment="1" applyProtection="1">
      <alignment horizontal="right" vertical="center" wrapText="1"/>
    </xf>
    <xf numFmtId="171" fontId="6" fillId="18" borderId="14" xfId="31" applyNumberFormat="1" applyFont="1" applyFill="1" applyBorder="1" applyAlignment="1" applyProtection="1">
      <alignment horizontal="right" vertical="top" wrapText="1"/>
    </xf>
    <xf numFmtId="171" fontId="6" fillId="18" borderId="91" xfId="31" applyNumberFormat="1" applyFont="1" applyFill="1" applyBorder="1" applyAlignment="1" applyProtection="1">
      <alignment horizontal="right" vertical="center" wrapText="1"/>
    </xf>
    <xf numFmtId="0" fontId="6" fillId="0" borderId="92" xfId="31" applyNumberFormat="1" applyFont="1" applyFill="1" applyBorder="1" applyAlignment="1" applyProtection="1">
      <alignment horizontal="right" vertical="center" wrapText="1"/>
    </xf>
    <xf numFmtId="0" fontId="6" fillId="0" borderId="17" xfId="31" applyNumberFormat="1" applyFont="1" applyFill="1" applyBorder="1" applyAlignment="1" applyProtection="1">
      <alignment horizontal="left" vertical="center" wrapText="1"/>
    </xf>
    <xf numFmtId="0" fontId="6" fillId="0" borderId="93" xfId="31" applyNumberFormat="1" applyFont="1" applyFill="1" applyBorder="1" applyAlignment="1" applyProtection="1">
      <alignment horizontal="right" vertical="center" wrapText="1"/>
    </xf>
    <xf numFmtId="0" fontId="6" fillId="0" borderId="94" xfId="31" applyNumberFormat="1" applyFont="1" applyFill="1" applyBorder="1" applyAlignment="1" applyProtection="1">
      <alignment horizontal="left" vertical="center" wrapText="1"/>
    </xf>
    <xf numFmtId="171" fontId="6" fillId="18" borderId="95" xfId="31" applyNumberFormat="1" applyFont="1" applyFill="1" applyBorder="1" applyAlignment="1" applyProtection="1">
      <alignment horizontal="right" vertical="center" wrapText="1"/>
    </xf>
    <xf numFmtId="4" fontId="28" fillId="19" borderId="44" xfId="31" applyNumberFormat="1" applyFont="1" applyFill="1" applyBorder="1" applyAlignment="1" applyProtection="1">
      <alignment horizontal="right" vertical="center" wrapText="1"/>
    </xf>
    <xf numFmtId="171" fontId="6" fillId="0" borderId="31" xfId="0" applyNumberFormat="1" applyFont="1" applyBorder="1" applyAlignment="1">
      <alignment horizontal="right" vertical="center" wrapText="1"/>
    </xf>
    <xf numFmtId="171" fontId="6" fillId="0" borderId="20" xfId="0" applyNumberFormat="1" applyFont="1" applyFill="1" applyBorder="1" applyAlignment="1">
      <alignment horizontal="right" vertical="center" wrapText="1"/>
    </xf>
    <xf numFmtId="4" fontId="6" fillId="0" borderId="16" xfId="0" applyNumberFormat="1" applyFont="1" applyFill="1" applyBorder="1" applyAlignment="1">
      <alignment horizontal="right" vertical="center" wrapText="1"/>
    </xf>
    <xf numFmtId="171" fontId="6" fillId="0" borderId="32" xfId="0" applyNumberFormat="1" applyFont="1" applyFill="1" applyBorder="1" applyAlignment="1">
      <alignment horizontal="right" vertical="center" wrapText="1"/>
    </xf>
    <xf numFmtId="4" fontId="6" fillId="0" borderId="47" xfId="0" applyNumberFormat="1" applyFont="1" applyFill="1" applyBorder="1" applyAlignment="1">
      <alignment horizontal="right" vertical="center" wrapText="1"/>
    </xf>
    <xf numFmtId="4" fontId="6" fillId="0" borderId="15" xfId="31" applyNumberFormat="1" applyFont="1" applyFill="1" applyBorder="1" applyAlignment="1" applyProtection="1">
      <alignment horizontal="right" vertical="center" wrapText="1"/>
    </xf>
    <xf numFmtId="4" fontId="28" fillId="21" borderId="36" xfId="0" applyNumberFormat="1" applyFont="1" applyFill="1" applyBorder="1" applyAlignment="1">
      <alignment horizontal="right" vertical="center" wrapText="1"/>
    </xf>
    <xf numFmtId="4" fontId="28" fillId="21" borderId="40" xfId="0" applyNumberFormat="1" applyFont="1" applyFill="1" applyBorder="1" applyAlignment="1">
      <alignment horizontal="right" vertical="center" wrapText="1"/>
    </xf>
    <xf numFmtId="0" fontId="3" fillId="21" borderId="24" xfId="31" applyNumberFormat="1" applyFont="1" applyFill="1" applyBorder="1" applyAlignment="1" applyProtection="1">
      <alignment horizontal="center" vertical="center" wrapText="1"/>
    </xf>
    <xf numFmtId="0" fontId="3" fillId="21" borderId="24" xfId="0" applyFont="1" applyFill="1" applyBorder="1" applyAlignment="1">
      <alignment horizontal="center" vertical="center" wrapText="1"/>
    </xf>
    <xf numFmtId="0" fontId="5" fillId="21" borderId="24" xfId="31" applyNumberFormat="1" applyFont="1" applyFill="1" applyBorder="1" applyAlignment="1" applyProtection="1">
      <alignment horizontal="center" vertical="center" wrapText="1"/>
    </xf>
    <xf numFmtId="165" fontId="6" fillId="0" borderId="14" xfId="52" applyFont="1" applyFill="1" applyBorder="1" applyAlignment="1" applyProtection="1">
      <alignment horizontal="right" vertical="center" wrapText="1"/>
    </xf>
    <xf numFmtId="165" fontId="6" fillId="0" borderId="31" xfId="52" applyFont="1" applyFill="1" applyBorder="1" applyAlignment="1" applyProtection="1">
      <alignment horizontal="right" vertical="center" wrapText="1"/>
    </xf>
    <xf numFmtId="0" fontId="41" fillId="21" borderId="24" xfId="31" applyNumberFormat="1" applyFont="1" applyFill="1" applyBorder="1" applyAlignment="1" applyProtection="1">
      <alignment horizontal="center" vertical="center" wrapText="1"/>
    </xf>
    <xf numFmtId="171" fontId="6" fillId="0" borderId="31" xfId="52" applyNumberFormat="1" applyFont="1" applyFill="1" applyBorder="1" applyAlignment="1" applyProtection="1">
      <alignment horizontal="right" vertical="center" wrapText="1"/>
    </xf>
    <xf numFmtId="165" fontId="6" fillId="0" borderId="33" xfId="52" applyFont="1" applyFill="1" applyBorder="1" applyAlignment="1" applyProtection="1">
      <alignment horizontal="right" vertical="center" wrapText="1"/>
    </xf>
    <xf numFmtId="0" fontId="6" fillId="19" borderId="28" xfId="31" applyNumberFormat="1" applyFont="1" applyFill="1" applyBorder="1" applyAlignment="1" applyProtection="1">
      <alignment horizontal="right" vertical="center" wrapText="1"/>
    </xf>
    <xf numFmtId="0" fontId="6" fillId="19" borderId="14" xfId="31" applyNumberFormat="1" applyFont="1" applyFill="1" applyBorder="1" applyAlignment="1" applyProtection="1">
      <alignment horizontal="left" vertical="center" wrapText="1"/>
    </xf>
    <xf numFmtId="0" fontId="6" fillId="19" borderId="14" xfId="31" applyNumberFormat="1" applyFont="1" applyFill="1" applyBorder="1" applyAlignment="1" applyProtection="1">
      <alignment horizontal="center" vertical="center" wrapText="1"/>
    </xf>
    <xf numFmtId="171" fontId="6" fillId="19" borderId="14" xfId="31" applyNumberFormat="1" applyFont="1" applyFill="1" applyBorder="1" applyAlignment="1" applyProtection="1">
      <alignment horizontal="right" vertical="center" wrapText="1"/>
    </xf>
    <xf numFmtId="4" fontId="6" fillId="19" borderId="14" xfId="31" applyNumberFormat="1" applyFont="1" applyFill="1" applyBorder="1" applyAlignment="1" applyProtection="1">
      <alignment horizontal="right" vertical="center" wrapText="1"/>
    </xf>
    <xf numFmtId="165" fontId="6" fillId="19" borderId="29" xfId="52" applyFont="1" applyFill="1" applyBorder="1" applyAlignment="1" applyProtection="1">
      <alignment horizontal="right" vertical="center" wrapText="1"/>
    </xf>
    <xf numFmtId="165" fontId="6" fillId="0" borderId="29" xfId="52" applyFont="1" applyFill="1" applyBorder="1" applyAlignment="1" applyProtection="1">
      <alignment horizontal="right" vertical="center" wrapText="1"/>
    </xf>
    <xf numFmtId="172" fontId="6" fillId="0" borderId="14" xfId="31" applyNumberFormat="1" applyFont="1" applyFill="1" applyBorder="1" applyAlignment="1" applyProtection="1">
      <alignment horizontal="right" vertical="center" wrapText="1"/>
    </xf>
    <xf numFmtId="174" fontId="6" fillId="0" borderId="14" xfId="0" applyNumberFormat="1" applyFont="1" applyFill="1" applyBorder="1" applyAlignment="1">
      <alignment vertical="center"/>
    </xf>
    <xf numFmtId="171" fontId="6" fillId="0" borderId="32" xfId="0" applyNumberFormat="1" applyFont="1" applyBorder="1" applyAlignment="1">
      <alignment horizontal="right" vertical="center" wrapText="1"/>
    </xf>
    <xf numFmtId="171" fontId="6" fillId="0" borderId="0" xfId="31" applyNumberFormat="1" applyFont="1" applyFill="1" applyBorder="1" applyAlignment="1" applyProtection="1">
      <alignment horizontal="right" vertical="center" wrapText="1"/>
    </xf>
    <xf numFmtId="4" fontId="6" fillId="0" borderId="22" xfId="0" applyNumberFormat="1" applyFont="1" applyFill="1" applyBorder="1" applyAlignment="1">
      <alignment horizontal="right" vertical="center" wrapText="1"/>
    </xf>
    <xf numFmtId="171" fontId="6" fillId="0" borderId="20" xfId="0" applyNumberFormat="1" applyFont="1" applyBorder="1" applyAlignment="1">
      <alignment horizontal="right" vertical="center" wrapText="1"/>
    </xf>
    <xf numFmtId="4" fontId="6" fillId="19" borderId="14" xfId="0" applyNumberFormat="1" applyFont="1" applyFill="1" applyBorder="1" applyAlignment="1">
      <alignment horizontal="right" vertical="center" wrapText="1"/>
    </xf>
    <xf numFmtId="4" fontId="6" fillId="19" borderId="31" xfId="0" applyNumberFormat="1" applyFont="1" applyFill="1" applyBorder="1" applyAlignment="1">
      <alignment horizontal="right" vertical="center" wrapText="1"/>
    </xf>
    <xf numFmtId="4" fontId="28" fillId="21" borderId="36" xfId="31" applyNumberFormat="1" applyFont="1" applyFill="1" applyBorder="1" applyAlignment="1" applyProtection="1">
      <alignment horizontal="right" vertical="top" wrapText="1"/>
    </xf>
    <xf numFmtId="165" fontId="6" fillId="0" borderId="20" xfId="52" applyFont="1" applyFill="1" applyBorder="1" applyAlignment="1" applyProtection="1">
      <alignment horizontal="right" vertical="center" wrapText="1"/>
    </xf>
    <xf numFmtId="165" fontId="6" fillId="0" borderId="32" xfId="52" applyFont="1" applyFill="1" applyBorder="1" applyAlignment="1" applyProtection="1">
      <alignment horizontal="right" vertical="center" wrapText="1"/>
    </xf>
    <xf numFmtId="4" fontId="35" fillId="21" borderId="40" xfId="31" applyNumberFormat="1" applyFont="1" applyFill="1" applyBorder="1" applyAlignment="1" applyProtection="1">
      <alignment horizontal="right" vertical="center" wrapText="1"/>
    </xf>
    <xf numFmtId="165" fontId="29" fillId="19" borderId="44" xfId="52" applyFont="1" applyFill="1" applyBorder="1" applyAlignment="1">
      <alignment horizontal="right" wrapText="1"/>
    </xf>
    <xf numFmtId="171" fontId="3" fillId="0" borderId="4" xfId="0" applyNumberFormat="1" applyFont="1" applyBorder="1" applyAlignment="1">
      <alignment horizontal="right" vertical="center" wrapText="1"/>
    </xf>
    <xf numFmtId="4" fontId="3" fillId="0" borderId="97" xfId="31" applyNumberFormat="1" applyFont="1" applyFill="1" applyBorder="1" applyAlignment="1" applyProtection="1">
      <alignment horizontal="right" vertical="center" wrapText="1"/>
    </xf>
    <xf numFmtId="0" fontId="5" fillId="21" borderId="98" xfId="0" applyFont="1" applyFill="1" applyBorder="1" applyAlignment="1">
      <alignment horizontal="center" vertical="center" wrapText="1"/>
    </xf>
    <xf numFmtId="0" fontId="5" fillId="0" borderId="99" xfId="0" applyFont="1" applyFill="1" applyBorder="1" applyAlignment="1">
      <alignment horizontal="left" vertical="center" wrapText="1"/>
    </xf>
    <xf numFmtId="0" fontId="6" fillId="0" borderId="82" xfId="0" applyFont="1" applyFill="1" applyBorder="1" applyAlignment="1">
      <alignment horizontal="right" vertical="center" wrapText="1"/>
    </xf>
    <xf numFmtId="0" fontId="6" fillId="0" borderId="83" xfId="0" applyFont="1" applyFill="1" applyBorder="1" applyAlignment="1">
      <alignment horizontal="left" vertical="center" wrapText="1"/>
    </xf>
    <xf numFmtId="0" fontId="6" fillId="0" borderId="83" xfId="0" applyFont="1" applyFill="1" applyBorder="1" applyAlignment="1">
      <alignment horizontal="center" vertical="center" wrapText="1"/>
    </xf>
    <xf numFmtId="171" fontId="6" fillId="0" borderId="84" xfId="0" applyNumberFormat="1" applyFont="1" applyBorder="1" applyAlignment="1">
      <alignment horizontal="right" vertical="center" wrapText="1"/>
    </xf>
    <xf numFmtId="4" fontId="6" fillId="0" borderId="83" xfId="0" applyNumberFormat="1" applyFont="1" applyFill="1" applyBorder="1" applyAlignment="1">
      <alignment horizontal="right" vertical="center" wrapText="1"/>
    </xf>
    <xf numFmtId="4" fontId="6" fillId="0" borderId="100" xfId="31" applyNumberFormat="1" applyFont="1" applyFill="1" applyBorder="1" applyAlignment="1" applyProtection="1">
      <alignment horizontal="right" vertical="center" wrapText="1"/>
    </xf>
    <xf numFmtId="0" fontId="3" fillId="21" borderId="24" xfId="31" applyNumberFormat="1" applyFont="1" applyFill="1" applyBorder="1" applyAlignment="1" applyProtection="1">
      <alignment horizontal="left" vertical="center" wrapText="1"/>
    </xf>
    <xf numFmtId="4" fontId="34" fillId="21" borderId="36" xfId="31" applyNumberFormat="1" applyFont="1" applyFill="1" applyBorder="1" applyAlignment="1" applyProtection="1">
      <alignment horizontal="right" vertical="center" wrapText="1"/>
    </xf>
    <xf numFmtId="4" fontId="34" fillId="21" borderId="40" xfId="31" applyNumberFormat="1" applyFont="1" applyFill="1" applyBorder="1" applyAlignment="1" applyProtection="1">
      <alignment horizontal="right" vertical="center" wrapText="1"/>
    </xf>
    <xf numFmtId="4" fontId="29" fillId="0" borderId="101" xfId="31" applyNumberFormat="1" applyFont="1" applyFill="1" applyBorder="1" applyAlignment="1" applyProtection="1">
      <alignment horizontal="right" wrapText="1"/>
    </xf>
    <xf numFmtId="4" fontId="29" fillId="21" borderId="40" xfId="31" applyNumberFormat="1" applyFont="1" applyFill="1" applyBorder="1" applyAlignment="1" applyProtection="1">
      <alignment horizontal="right" vertical="center" wrapText="1"/>
    </xf>
    <xf numFmtId="170" fontId="6" fillId="0" borderId="20" xfId="31" applyNumberFormat="1" applyFont="1" applyFill="1" applyBorder="1" applyAlignment="1" applyProtection="1">
      <alignment horizontal="right" vertical="center" wrapText="1"/>
    </xf>
    <xf numFmtId="4" fontId="6" fillId="19" borderId="29" xfId="31" applyNumberFormat="1" applyFont="1" applyFill="1" applyBorder="1" applyAlignment="1" applyProtection="1">
      <alignment horizontal="right" vertical="center" wrapText="1"/>
    </xf>
    <xf numFmtId="0" fontId="6" fillId="19" borderId="30" xfId="0" applyFont="1" applyFill="1" applyBorder="1" applyAlignment="1">
      <alignment horizontal="right" vertical="center" wrapText="1"/>
    </xf>
    <xf numFmtId="0" fontId="6" fillId="19" borderId="31" xfId="0" applyFont="1" applyFill="1" applyBorder="1" applyAlignment="1">
      <alignment horizontal="left" vertical="center" wrapText="1"/>
    </xf>
    <xf numFmtId="0" fontId="6" fillId="19" borderId="31" xfId="0" applyFont="1" applyFill="1" applyBorder="1" applyAlignment="1">
      <alignment horizontal="center" vertical="center" wrapText="1"/>
    </xf>
    <xf numFmtId="171" fontId="6" fillId="19" borderId="32" xfId="0" applyNumberFormat="1" applyFont="1" applyFill="1" applyBorder="1" applyAlignment="1">
      <alignment horizontal="right" vertical="center" wrapText="1"/>
    </xf>
    <xf numFmtId="4" fontId="6" fillId="19" borderId="33" xfId="0" applyNumberFormat="1" applyFont="1" applyFill="1" applyBorder="1" applyAlignment="1">
      <alignment horizontal="right" vertical="center" wrapText="1"/>
    </xf>
    <xf numFmtId="4" fontId="6" fillId="19" borderId="31" xfId="31" applyNumberFormat="1" applyFont="1" applyFill="1" applyBorder="1" applyAlignment="1" applyProtection="1">
      <alignment horizontal="right" vertical="center" wrapText="1"/>
    </xf>
    <xf numFmtId="0" fontId="46" fillId="17" borderId="62" xfId="31" applyNumberFormat="1" applyFont="1" applyFill="1" applyBorder="1" applyAlignment="1" applyProtection="1">
      <alignment vertical="center" wrapText="1"/>
    </xf>
    <xf numFmtId="0" fontId="46" fillId="17" borderId="59" xfId="31" applyNumberFormat="1" applyFont="1" applyFill="1" applyBorder="1" applyAlignment="1" applyProtection="1">
      <alignment vertical="center" wrapText="1"/>
    </xf>
    <xf numFmtId="4" fontId="3" fillId="19" borderId="0" xfId="0" applyNumberFormat="1" applyFont="1" applyFill="1" applyBorder="1" applyAlignment="1">
      <alignment horizontal="center" vertical="center" wrapText="1"/>
    </xf>
    <xf numFmtId="171" fontId="6" fillId="19" borderId="20" xfId="31" applyNumberFormat="1" applyFont="1" applyFill="1" applyBorder="1" applyAlignment="1" applyProtection="1">
      <alignment horizontal="right" vertical="center" wrapText="1"/>
    </xf>
    <xf numFmtId="4" fontId="6" fillId="19" borderId="16" xfId="31" applyNumberFormat="1" applyFont="1" applyFill="1" applyBorder="1" applyAlignment="1" applyProtection="1">
      <alignment horizontal="right" vertical="center" wrapText="1"/>
    </xf>
    <xf numFmtId="0" fontId="5" fillId="21" borderId="69" xfId="31" applyNumberFormat="1" applyFont="1" applyFill="1" applyBorder="1" applyAlignment="1" applyProtection="1">
      <alignment horizontal="center" vertical="center" wrapText="1"/>
    </xf>
    <xf numFmtId="4" fontId="3" fillId="19" borderId="73" xfId="31" applyNumberFormat="1" applyFont="1" applyFill="1" applyBorder="1" applyAlignment="1" applyProtection="1">
      <alignment horizontal="center" vertical="center" wrapText="1"/>
    </xf>
    <xf numFmtId="0" fontId="5" fillId="18" borderId="75" xfId="31" applyNumberFormat="1" applyFont="1" applyFill="1" applyBorder="1" applyAlignment="1" applyProtection="1">
      <alignment horizontal="left" vertical="center" wrapText="1"/>
    </xf>
    <xf numFmtId="0" fontId="43" fillId="0" borderId="22" xfId="0" applyFont="1" applyBorder="1" applyAlignment="1">
      <alignment horizontal="center"/>
    </xf>
    <xf numFmtId="171" fontId="6" fillId="0" borderId="22" xfId="0" applyNumberFormat="1" applyFont="1" applyBorder="1"/>
    <xf numFmtId="0" fontId="43" fillId="0" borderId="31" xfId="0" applyFont="1" applyBorder="1" applyAlignment="1">
      <alignment horizontal="center"/>
    </xf>
    <xf numFmtId="171" fontId="6" fillId="0" borderId="31" xfId="0" applyNumberFormat="1" applyFont="1" applyBorder="1"/>
    <xf numFmtId="4" fontId="5" fillId="19" borderId="0" xfId="31" applyNumberFormat="1" applyFont="1" applyFill="1" applyBorder="1" applyAlignment="1" applyProtection="1">
      <alignment horizontal="center" vertical="center" wrapText="1"/>
    </xf>
    <xf numFmtId="4" fontId="6" fillId="19" borderId="0" xfId="31" applyNumberFormat="1" applyFont="1" applyFill="1" applyBorder="1" applyAlignment="1" applyProtection="1">
      <alignment horizontal="center" vertical="center" wrapText="1"/>
    </xf>
    <xf numFmtId="0" fontId="5" fillId="21" borderId="74" xfId="31" applyNumberFormat="1" applyFont="1" applyFill="1" applyBorder="1" applyAlignment="1" applyProtection="1">
      <alignment horizontal="center" vertical="center" wrapText="1"/>
    </xf>
    <xf numFmtId="171" fontId="48" fillId="0" borderId="20" xfId="31" applyNumberFormat="1" applyFont="1" applyFill="1" applyBorder="1" applyAlignment="1" applyProtection="1">
      <alignment horizontal="right" vertical="center" wrapText="1"/>
    </xf>
    <xf numFmtId="171" fontId="3" fillId="0" borderId="0" xfId="31" applyNumberFormat="1" applyFont="1" applyFill="1" applyBorder="1" applyAlignment="1" applyProtection="1">
      <alignment horizontal="right" vertical="center" wrapText="1"/>
    </xf>
    <xf numFmtId="0" fontId="44" fillId="22" borderId="90" xfId="0" applyFont="1" applyFill="1" applyBorder="1" applyAlignment="1">
      <alignment horizontal="center" vertical="center" wrapText="1"/>
    </xf>
    <xf numFmtId="0" fontId="44" fillId="22" borderId="0" xfId="0" applyFont="1" applyFill="1" applyBorder="1" applyAlignment="1">
      <alignment horizontal="center" vertical="center" wrapText="1"/>
    </xf>
    <xf numFmtId="0" fontId="38" fillId="23" borderId="0" xfId="0" applyFont="1" applyFill="1" applyBorder="1" applyAlignment="1">
      <alignment horizontal="left" wrapText="1"/>
    </xf>
    <xf numFmtId="0" fontId="38" fillId="23" borderId="0" xfId="0" applyFont="1" applyFill="1" applyBorder="1" applyAlignment="1">
      <alignment horizontal="center" wrapText="1"/>
    </xf>
    <xf numFmtId="0" fontId="38" fillId="20" borderId="0" xfId="0" applyFont="1" applyFill="1" applyBorder="1" applyAlignment="1">
      <alignment horizontal="left" wrapText="1"/>
    </xf>
    <xf numFmtId="0" fontId="38" fillId="20" borderId="0" xfId="0" applyFont="1" applyFill="1" applyBorder="1" applyAlignment="1">
      <alignment horizontal="center" wrapText="1"/>
    </xf>
    <xf numFmtId="171" fontId="48" fillId="0" borderId="20" xfId="0" applyNumberFormat="1" applyFont="1" applyFill="1" applyBorder="1" applyAlignment="1">
      <alignment horizontal="right" vertical="center" wrapText="1"/>
    </xf>
    <xf numFmtId="4" fontId="4" fillId="19" borderId="0" xfId="0" applyNumberFormat="1" applyFont="1" applyFill="1" applyAlignment="1">
      <alignment horizontal="center" vertical="center"/>
    </xf>
    <xf numFmtId="171" fontId="48" fillId="0" borderId="14" xfId="0" applyNumberFormat="1" applyFont="1" applyFill="1" applyBorder="1" applyAlignment="1">
      <alignment horizontal="right" vertical="center" wrapText="1"/>
    </xf>
    <xf numFmtId="0" fontId="41" fillId="21" borderId="24" xfId="0" applyFont="1" applyFill="1" applyBorder="1" applyAlignment="1">
      <alignment horizontal="center" vertical="center" wrapText="1"/>
    </xf>
    <xf numFmtId="0" fontId="5" fillId="21" borderId="85" xfId="31" applyNumberFormat="1" applyFont="1" applyFill="1" applyBorder="1" applyAlignment="1" applyProtection="1">
      <alignment horizontal="center" vertical="center" wrapText="1"/>
    </xf>
    <xf numFmtId="4" fontId="5" fillId="0" borderId="86" xfId="31" applyNumberFormat="1" applyFont="1" applyFill="1" applyBorder="1" applyAlignment="1" applyProtection="1">
      <alignment horizontal="right" vertical="center" wrapText="1"/>
    </xf>
    <xf numFmtId="0" fontId="6" fillId="0" borderId="14" xfId="0" applyFont="1" applyFill="1" applyBorder="1" applyAlignment="1">
      <alignment vertical="center"/>
    </xf>
    <xf numFmtId="0" fontId="6" fillId="0" borderId="28" xfId="0" applyFont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177" fontId="6" fillId="0" borderId="14" xfId="52" applyNumberFormat="1" applyFont="1" applyBorder="1" applyAlignment="1">
      <alignment vertical="center"/>
    </xf>
    <xf numFmtId="165" fontId="6" fillId="0" borderId="14" xfId="52" applyFont="1" applyBorder="1" applyAlignment="1">
      <alignment vertical="center"/>
    </xf>
    <xf numFmtId="165" fontId="6" fillId="0" borderId="29" xfId="52" applyFont="1" applyBorder="1" applyAlignment="1">
      <alignment vertical="center"/>
    </xf>
    <xf numFmtId="0" fontId="6" fillId="0" borderId="14" xfId="0" applyFont="1" applyBorder="1" applyAlignment="1">
      <alignment horizontal="justify" vertical="center"/>
    </xf>
    <xf numFmtId="165" fontId="6" fillId="0" borderId="33" xfId="52" applyFont="1" applyBorder="1" applyAlignment="1">
      <alignment vertical="center"/>
    </xf>
    <xf numFmtId="0" fontId="5" fillId="0" borderId="75" xfId="31" applyNumberFormat="1" applyFont="1" applyFill="1" applyBorder="1" applyAlignment="1" applyProtection="1">
      <alignment horizontal="justify" vertical="center" wrapText="1"/>
    </xf>
    <xf numFmtId="0" fontId="6" fillId="0" borderId="30" xfId="0" applyFont="1" applyBorder="1" applyAlignment="1">
      <alignment horizontal="right" vertical="center"/>
    </xf>
    <xf numFmtId="0" fontId="6" fillId="0" borderId="31" xfId="0" applyFont="1" applyBorder="1" applyAlignment="1">
      <alignment horizontal="justify" vertical="center"/>
    </xf>
    <xf numFmtId="0" fontId="6" fillId="0" borderId="31" xfId="0" applyFont="1" applyBorder="1" applyAlignment="1">
      <alignment horizontal="center" vertical="center"/>
    </xf>
    <xf numFmtId="177" fontId="6" fillId="0" borderId="31" xfId="52" applyNumberFormat="1" applyFont="1" applyBorder="1" applyAlignment="1">
      <alignment vertical="center"/>
    </xf>
    <xf numFmtId="165" fontId="6" fillId="0" borderId="31" xfId="52" applyFont="1" applyBorder="1" applyAlignment="1">
      <alignment vertical="center"/>
    </xf>
    <xf numFmtId="0" fontId="5" fillId="0" borderId="102" xfId="31" applyNumberFormat="1" applyFont="1" applyFill="1" applyBorder="1" applyAlignment="1" applyProtection="1">
      <alignment horizontal="left" vertical="center" wrapText="1"/>
    </xf>
    <xf numFmtId="171" fontId="6" fillId="0" borderId="14" xfId="0" applyNumberFormat="1" applyFont="1" applyBorder="1" applyAlignment="1">
      <alignment horizontal="right" vertical="center" wrapText="1"/>
    </xf>
    <xf numFmtId="4" fontId="5" fillId="21" borderId="40" xfId="31" applyNumberFormat="1" applyFont="1" applyFill="1" applyBorder="1" applyAlignment="1" applyProtection="1">
      <alignment horizontal="right" vertical="center" wrapText="1"/>
    </xf>
    <xf numFmtId="0" fontId="29" fillId="0" borderId="25" xfId="31" applyNumberFormat="1" applyFont="1" applyFill="1" applyBorder="1" applyAlignment="1" applyProtection="1">
      <alignment horizontal="center" vertical="center" wrapText="1"/>
    </xf>
    <xf numFmtId="171" fontId="29" fillId="0" borderId="25" xfId="31" applyNumberFormat="1" applyFont="1" applyFill="1" applyBorder="1" applyAlignment="1" applyProtection="1">
      <alignment horizontal="right" vertical="center" wrapText="1"/>
    </xf>
    <xf numFmtId="4" fontId="29" fillId="0" borderId="27" xfId="31" applyNumberFormat="1" applyFont="1" applyFill="1" applyBorder="1" applyAlignment="1" applyProtection="1">
      <alignment horizontal="right" vertical="center" wrapText="1"/>
    </xf>
    <xf numFmtId="0" fontId="5" fillId="0" borderId="25" xfId="0" applyFont="1" applyFill="1" applyBorder="1" applyAlignment="1">
      <alignment horizontal="left" vertical="center" wrapText="1"/>
    </xf>
    <xf numFmtId="4" fontId="28" fillId="19" borderId="40" xfId="31" applyNumberFormat="1" applyFont="1" applyFill="1" applyBorder="1" applyAlignment="1" applyProtection="1">
      <alignment horizontal="right" vertical="center" wrapText="1"/>
    </xf>
    <xf numFmtId="4" fontId="28" fillId="19" borderId="54" xfId="31" applyNumberFormat="1" applyFont="1" applyFill="1" applyBorder="1" applyAlignment="1" applyProtection="1">
      <alignment horizontal="right" vertical="center" wrapText="1"/>
    </xf>
    <xf numFmtId="4" fontId="29" fillId="19" borderId="96" xfId="31" applyNumberFormat="1" applyFont="1" applyFill="1" applyBorder="1" applyAlignment="1" applyProtection="1">
      <alignment horizontal="center" vertical="center" wrapText="1"/>
    </xf>
    <xf numFmtId="0" fontId="3" fillId="19" borderId="25" xfId="31" applyNumberFormat="1" applyFont="1" applyFill="1" applyBorder="1" applyAlignment="1" applyProtection="1">
      <alignment horizontal="left" vertical="center" wrapText="1"/>
    </xf>
    <xf numFmtId="0" fontId="3" fillId="19" borderId="25" xfId="31" applyNumberFormat="1" applyFont="1" applyFill="1" applyBorder="1" applyAlignment="1" applyProtection="1">
      <alignment horizontal="center" vertical="center" wrapText="1"/>
    </xf>
    <xf numFmtId="171" fontId="3" fillId="19" borderId="26" xfId="31" applyNumberFormat="1" applyFont="1" applyFill="1" applyBorder="1" applyAlignment="1" applyProtection="1">
      <alignment horizontal="right" vertical="center" wrapText="1"/>
    </xf>
    <xf numFmtId="4" fontId="31" fillId="19" borderId="25" xfId="31" applyNumberFormat="1" applyFont="1" applyFill="1" applyBorder="1" applyAlignment="1" applyProtection="1">
      <alignment horizontal="right" vertical="center" wrapText="1"/>
    </xf>
    <xf numFmtId="4" fontId="3" fillId="19" borderId="27" xfId="31" applyNumberFormat="1" applyFont="1" applyFill="1" applyBorder="1" applyAlignment="1" applyProtection="1">
      <alignment horizontal="right" vertical="center" wrapText="1"/>
    </xf>
    <xf numFmtId="0" fontId="29" fillId="19" borderId="28" xfId="31" applyNumberFormat="1" applyFont="1" applyFill="1" applyBorder="1" applyAlignment="1" applyProtection="1">
      <alignment horizontal="right" vertical="center" wrapText="1"/>
    </xf>
    <xf numFmtId="0" fontId="29" fillId="19" borderId="14" xfId="31" applyNumberFormat="1" applyFont="1" applyFill="1" applyBorder="1" applyAlignment="1" applyProtection="1">
      <alignment horizontal="left" vertical="center" wrapText="1"/>
    </xf>
    <xf numFmtId="0" fontId="29" fillId="19" borderId="14" xfId="31" applyNumberFormat="1" applyFont="1" applyFill="1" applyBorder="1" applyAlignment="1" applyProtection="1">
      <alignment horizontal="center" vertical="center" wrapText="1"/>
    </xf>
    <xf numFmtId="4" fontId="29" fillId="19" borderId="29" xfId="31" applyNumberFormat="1" applyFont="1" applyFill="1" applyBorder="1" applyAlignment="1" applyProtection="1">
      <alignment horizontal="right" vertical="center" wrapText="1"/>
    </xf>
    <xf numFmtId="0" fontId="29" fillId="19" borderId="30" xfId="31" applyNumberFormat="1" applyFont="1" applyFill="1" applyBorder="1" applyAlignment="1" applyProtection="1">
      <alignment horizontal="right" vertical="center" wrapText="1"/>
    </xf>
    <xf numFmtId="0" fontId="29" fillId="19" borderId="31" xfId="31" applyNumberFormat="1" applyFont="1" applyFill="1" applyBorder="1" applyAlignment="1" applyProtection="1">
      <alignment horizontal="left" vertical="center" wrapText="1"/>
    </xf>
    <xf numFmtId="0" fontId="29" fillId="19" borderId="31" xfId="31" applyNumberFormat="1" applyFont="1" applyFill="1" applyBorder="1" applyAlignment="1" applyProtection="1">
      <alignment horizontal="center" vertical="center" wrapText="1"/>
    </xf>
    <xf numFmtId="171" fontId="29" fillId="19" borderId="32" xfId="31" applyNumberFormat="1" applyFont="1" applyFill="1" applyBorder="1" applyAlignment="1" applyProtection="1">
      <alignment horizontal="right" vertical="center" wrapText="1"/>
    </xf>
    <xf numFmtId="4" fontId="29" fillId="19" borderId="33" xfId="31" applyNumberFormat="1" applyFont="1" applyFill="1" applyBorder="1" applyAlignment="1" applyProtection="1">
      <alignment horizontal="right" vertical="center" wrapText="1"/>
    </xf>
    <xf numFmtId="4" fontId="6" fillId="0" borderId="14" xfId="0" applyNumberFormat="1" applyFont="1" applyFill="1" applyBorder="1" applyAlignment="1">
      <alignment vertical="center"/>
    </xf>
    <xf numFmtId="0" fontId="35" fillId="19" borderId="14" xfId="31" applyNumberFormat="1" applyFont="1" applyFill="1" applyBorder="1" applyAlignment="1" applyProtection="1">
      <alignment horizontal="center" vertical="center" wrapText="1"/>
    </xf>
    <xf numFmtId="171" fontId="35" fillId="19" borderId="14" xfId="31" applyNumberFormat="1" applyFont="1" applyFill="1" applyBorder="1" applyAlignment="1" applyProtection="1">
      <alignment horizontal="right" vertical="center" wrapText="1"/>
    </xf>
    <xf numFmtId="4" fontId="35" fillId="19" borderId="14" xfId="31" applyNumberFormat="1" applyFont="1" applyFill="1" applyBorder="1" applyAlignment="1" applyProtection="1">
      <alignment horizontal="right" vertical="center" wrapText="1"/>
    </xf>
    <xf numFmtId="4" fontId="35" fillId="19" borderId="29" xfId="31" applyNumberFormat="1" applyFont="1" applyFill="1" applyBorder="1" applyAlignment="1" applyProtection="1">
      <alignment horizontal="right" vertical="center" wrapText="1"/>
    </xf>
    <xf numFmtId="0" fontId="48" fillId="0" borderId="28" xfId="31" applyNumberFormat="1" applyFont="1" applyFill="1" applyBorder="1" applyAlignment="1" applyProtection="1">
      <alignment horizontal="right" vertical="center" wrapText="1"/>
    </xf>
    <xf numFmtId="0" fontId="48" fillId="0" borderId="14" xfId="31" applyNumberFormat="1" applyFont="1" applyFill="1" applyBorder="1" applyAlignment="1" applyProtection="1">
      <alignment horizontal="left" vertical="center" wrapText="1"/>
    </xf>
    <xf numFmtId="0" fontId="48" fillId="0" borderId="14" xfId="31" applyNumberFormat="1" applyFont="1" applyFill="1" applyBorder="1" applyAlignment="1" applyProtection="1">
      <alignment horizontal="center" vertical="center" wrapText="1"/>
    </xf>
    <xf numFmtId="171" fontId="48" fillId="0" borderId="14" xfId="31" applyNumberFormat="1" applyFont="1" applyFill="1" applyBorder="1" applyAlignment="1" applyProtection="1">
      <alignment horizontal="right" vertical="center" wrapText="1"/>
    </xf>
    <xf numFmtId="4" fontId="48" fillId="0" borderId="14" xfId="31" applyNumberFormat="1" applyFont="1" applyFill="1" applyBorder="1" applyAlignment="1" applyProtection="1">
      <alignment horizontal="right" vertical="center" wrapText="1"/>
    </xf>
    <xf numFmtId="4" fontId="48" fillId="0" borderId="29" xfId="31" applyNumberFormat="1" applyFont="1" applyFill="1" applyBorder="1" applyAlignment="1" applyProtection="1">
      <alignment horizontal="right" vertical="center" wrapText="1"/>
    </xf>
    <xf numFmtId="0" fontId="48" fillId="19" borderId="28" xfId="31" applyNumberFormat="1" applyFont="1" applyFill="1" applyBorder="1" applyAlignment="1" applyProtection="1">
      <alignment horizontal="right" vertical="center" wrapText="1"/>
    </xf>
    <xf numFmtId="0" fontId="48" fillId="19" borderId="14" xfId="31" applyNumberFormat="1" applyFont="1" applyFill="1" applyBorder="1" applyAlignment="1" applyProtection="1">
      <alignment horizontal="left" vertical="center" wrapText="1"/>
    </xf>
    <xf numFmtId="0" fontId="48" fillId="19" borderId="14" xfId="31" applyNumberFormat="1" applyFont="1" applyFill="1" applyBorder="1" applyAlignment="1" applyProtection="1">
      <alignment horizontal="center" vertical="center" wrapText="1"/>
    </xf>
    <xf numFmtId="171" fontId="48" fillId="19" borderId="20" xfId="31" applyNumberFormat="1" applyFont="1" applyFill="1" applyBorder="1" applyAlignment="1" applyProtection="1">
      <alignment horizontal="right" vertical="center" wrapText="1"/>
    </xf>
    <xf numFmtId="4" fontId="48" fillId="19" borderId="14" xfId="31" applyNumberFormat="1" applyFont="1" applyFill="1" applyBorder="1" applyAlignment="1" applyProtection="1">
      <alignment horizontal="right" vertical="center" wrapText="1"/>
    </xf>
    <xf numFmtId="4" fontId="48" fillId="19" borderId="16" xfId="31" applyNumberFormat="1" applyFont="1" applyFill="1" applyBorder="1" applyAlignment="1" applyProtection="1">
      <alignment horizontal="right" vertical="center" wrapText="1"/>
    </xf>
    <xf numFmtId="0" fontId="48" fillId="19" borderId="57" xfId="31" applyNumberFormat="1" applyFont="1" applyFill="1" applyBorder="1" applyAlignment="1" applyProtection="1">
      <alignment horizontal="right" vertical="center" wrapText="1"/>
    </xf>
    <xf numFmtId="0" fontId="48" fillId="19" borderId="22" xfId="31" applyNumberFormat="1" applyFont="1" applyFill="1" applyBorder="1" applyAlignment="1" applyProtection="1">
      <alignment horizontal="left" vertical="center" wrapText="1"/>
    </xf>
    <xf numFmtId="0" fontId="48" fillId="19" borderId="22" xfId="31" applyNumberFormat="1" applyFont="1" applyFill="1" applyBorder="1" applyAlignment="1" applyProtection="1">
      <alignment horizontal="center" vertical="center" wrapText="1"/>
    </xf>
    <xf numFmtId="0" fontId="48" fillId="19" borderId="30" xfId="31" applyNumberFormat="1" applyFont="1" applyFill="1" applyBorder="1" applyAlignment="1" applyProtection="1">
      <alignment horizontal="right" vertical="center" wrapText="1"/>
    </xf>
    <xf numFmtId="0" fontId="48" fillId="19" borderId="31" xfId="31" applyNumberFormat="1" applyFont="1" applyFill="1" applyBorder="1" applyAlignment="1" applyProtection="1">
      <alignment horizontal="left" vertical="center" wrapText="1"/>
    </xf>
    <xf numFmtId="0" fontId="48" fillId="19" borderId="31" xfId="31" applyNumberFormat="1" applyFont="1" applyFill="1" applyBorder="1" applyAlignment="1" applyProtection="1">
      <alignment horizontal="center" vertical="center" wrapText="1"/>
    </xf>
    <xf numFmtId="171" fontId="48" fillId="19" borderId="32" xfId="31" applyNumberFormat="1" applyFont="1" applyFill="1" applyBorder="1" applyAlignment="1" applyProtection="1">
      <alignment horizontal="right" vertical="center" wrapText="1"/>
    </xf>
    <xf numFmtId="4" fontId="48" fillId="19" borderId="31" xfId="31" applyNumberFormat="1" applyFont="1" applyFill="1" applyBorder="1" applyAlignment="1" applyProtection="1">
      <alignment horizontal="right" vertical="center" wrapText="1"/>
    </xf>
    <xf numFmtId="4" fontId="48" fillId="19" borderId="47" xfId="31" applyNumberFormat="1" applyFont="1" applyFill="1" applyBorder="1" applyAlignment="1" applyProtection="1">
      <alignment horizontal="right" vertical="center" wrapText="1"/>
    </xf>
    <xf numFmtId="0" fontId="5" fillId="19" borderId="25" xfId="31" applyNumberFormat="1" applyFont="1" applyFill="1" applyBorder="1" applyAlignment="1" applyProtection="1">
      <alignment horizontal="left" vertical="center" wrapText="1"/>
    </xf>
    <xf numFmtId="4" fontId="3" fillId="19" borderId="46" xfId="31" applyNumberFormat="1" applyFont="1" applyFill="1" applyBorder="1" applyAlignment="1" applyProtection="1">
      <alignment horizontal="right" vertical="center" wrapText="1"/>
    </xf>
    <xf numFmtId="4" fontId="35" fillId="19" borderId="16" xfId="31" applyNumberFormat="1" applyFont="1" applyFill="1" applyBorder="1" applyAlignment="1" applyProtection="1">
      <alignment horizontal="right" vertical="center" wrapText="1"/>
    </xf>
    <xf numFmtId="0" fontId="35" fillId="19" borderId="14" xfId="31" applyNumberFormat="1" applyFont="1" applyFill="1" applyBorder="1" applyAlignment="1" applyProtection="1">
      <alignment horizontal="left" vertical="center" wrapText="1"/>
    </xf>
    <xf numFmtId="165" fontId="35" fillId="19" borderId="14" xfId="52" applyFont="1" applyFill="1" applyBorder="1" applyAlignment="1" applyProtection="1">
      <alignment horizontal="right" vertical="center" wrapText="1"/>
    </xf>
    <xf numFmtId="0" fontId="35" fillId="19" borderId="30" xfId="31" applyNumberFormat="1" applyFont="1" applyFill="1" applyBorder="1" applyAlignment="1" applyProtection="1">
      <alignment horizontal="right" vertical="center" wrapText="1"/>
    </xf>
    <xf numFmtId="0" fontId="35" fillId="19" borderId="31" xfId="31" applyNumberFormat="1" applyFont="1" applyFill="1" applyBorder="1" applyAlignment="1" applyProtection="1">
      <alignment horizontal="left" vertical="center" wrapText="1"/>
    </xf>
    <xf numFmtId="0" fontId="35" fillId="19" borderId="31" xfId="31" applyNumberFormat="1" applyFont="1" applyFill="1" applyBorder="1" applyAlignment="1" applyProtection="1">
      <alignment horizontal="center" vertical="center" wrapText="1"/>
    </xf>
    <xf numFmtId="171" fontId="35" fillId="19" borderId="31" xfId="31" applyNumberFormat="1" applyFont="1" applyFill="1" applyBorder="1" applyAlignment="1" applyProtection="1">
      <alignment horizontal="right" vertical="center" wrapText="1"/>
    </xf>
    <xf numFmtId="4" fontId="35" fillId="19" borderId="31" xfId="31" applyNumberFormat="1" applyFont="1" applyFill="1" applyBorder="1" applyAlignment="1" applyProtection="1">
      <alignment horizontal="right" vertical="center" wrapText="1"/>
    </xf>
    <xf numFmtId="4" fontId="35" fillId="19" borderId="47" xfId="31" applyNumberFormat="1" applyFont="1" applyFill="1" applyBorder="1" applyAlignment="1" applyProtection="1">
      <alignment horizontal="right" vertical="center" wrapText="1"/>
    </xf>
    <xf numFmtId="0" fontId="35" fillId="19" borderId="28" xfId="31" applyNumberFormat="1" applyFont="1" applyFill="1" applyBorder="1" applyAlignment="1" applyProtection="1">
      <alignment horizontal="right" vertical="center" wrapText="1"/>
    </xf>
    <xf numFmtId="4" fontId="4" fillId="0" borderId="21" xfId="0" applyNumberFormat="1" applyFont="1" applyFill="1" applyBorder="1" applyAlignment="1">
      <alignment horizontal="center" vertical="center"/>
    </xf>
    <xf numFmtId="4" fontId="3" fillId="17" borderId="60" xfId="31" applyNumberFormat="1" applyFont="1" applyFill="1" applyBorder="1" applyAlignment="1" applyProtection="1">
      <alignment vertical="center" wrapText="1"/>
    </xf>
    <xf numFmtId="4" fontId="48" fillId="0" borderId="14" xfId="0" applyNumberFormat="1" applyFont="1" applyFill="1" applyBorder="1" applyAlignment="1">
      <alignment horizontal="right" vertical="center" wrapText="1"/>
    </xf>
    <xf numFmtId="0" fontId="48" fillId="0" borderId="30" xfId="31" applyNumberFormat="1" applyFont="1" applyFill="1" applyBorder="1" applyAlignment="1" applyProtection="1">
      <alignment horizontal="right" vertical="center" wrapText="1"/>
    </xf>
    <xf numFmtId="0" fontId="48" fillId="0" borderId="31" xfId="31" applyNumberFormat="1" applyFont="1" applyFill="1" applyBorder="1" applyAlignment="1" applyProtection="1">
      <alignment horizontal="left" vertical="center" wrapText="1"/>
    </xf>
    <xf numFmtId="0" fontId="48" fillId="0" borderId="31" xfId="31" applyNumberFormat="1" applyFont="1" applyFill="1" applyBorder="1" applyAlignment="1" applyProtection="1">
      <alignment horizontal="center" vertical="center" wrapText="1"/>
    </xf>
    <xf numFmtId="171" fontId="48" fillId="0" borderId="31" xfId="0" applyNumberFormat="1" applyFont="1" applyBorder="1" applyAlignment="1">
      <alignment horizontal="right" vertical="center" wrapText="1"/>
    </xf>
    <xf numFmtId="4" fontId="48" fillId="0" borderId="31" xfId="0" applyNumberFormat="1" applyFont="1" applyFill="1" applyBorder="1" applyAlignment="1">
      <alignment horizontal="right" vertical="center" wrapText="1"/>
    </xf>
    <xf numFmtId="4" fontId="48" fillId="0" borderId="33" xfId="0" applyNumberFormat="1" applyFont="1" applyFill="1" applyBorder="1" applyAlignment="1">
      <alignment horizontal="right" vertical="center" wrapText="1"/>
    </xf>
    <xf numFmtId="171" fontId="3" fillId="19" borderId="25" xfId="31" applyNumberFormat="1" applyFont="1" applyFill="1" applyBorder="1" applyAlignment="1" applyProtection="1">
      <alignment horizontal="right" vertical="center" wrapText="1"/>
    </xf>
    <xf numFmtId="0" fontId="35" fillId="19" borderId="14" xfId="0" applyFont="1" applyFill="1" applyBorder="1" applyAlignment="1">
      <alignment horizontal="justify" vertical="center"/>
    </xf>
    <xf numFmtId="4" fontId="3" fillId="0" borderId="52" xfId="0" applyNumberFormat="1" applyFont="1" applyFill="1" applyBorder="1" applyAlignment="1">
      <alignment horizontal="center" vertical="center"/>
    </xf>
    <xf numFmtId="0" fontId="5" fillId="0" borderId="70" xfId="31" applyNumberFormat="1" applyFont="1" applyFill="1" applyBorder="1" applyAlignment="1" applyProtection="1">
      <alignment horizontal="left" vertical="top" wrapText="1"/>
    </xf>
    <xf numFmtId="4" fontId="35" fillId="19" borderId="33" xfId="31" applyNumberFormat="1" applyFont="1" applyFill="1" applyBorder="1" applyAlignment="1" applyProtection="1">
      <alignment horizontal="right" vertical="center" wrapText="1"/>
    </xf>
    <xf numFmtId="0" fontId="5" fillId="19" borderId="72" xfId="31" applyNumberFormat="1" applyFont="1" applyFill="1" applyBorder="1" applyAlignment="1" applyProtection="1">
      <alignment horizontal="left" vertical="center" wrapText="1"/>
    </xf>
    <xf numFmtId="0" fontId="3" fillId="19" borderId="26" xfId="31" applyNumberFormat="1" applyFont="1" applyFill="1" applyBorder="1" applyAlignment="1" applyProtection="1">
      <alignment horizontal="left" vertical="top" wrapText="1"/>
    </xf>
    <xf numFmtId="0" fontId="3" fillId="19" borderId="4" xfId="31" applyNumberFormat="1" applyFont="1" applyFill="1" applyBorder="1" applyAlignment="1" applyProtection="1">
      <alignment horizontal="left" vertical="top" wrapText="1"/>
    </xf>
    <xf numFmtId="0" fontId="48" fillId="0" borderId="28" xfId="31" applyFont="1" applyFill="1" applyBorder="1" applyAlignment="1" applyProtection="1">
      <alignment horizontal="right" vertical="center" wrapText="1"/>
    </xf>
    <xf numFmtId="0" fontId="6" fillId="0" borderId="30" xfId="31" applyFont="1" applyFill="1" applyBorder="1" applyAlignment="1" applyProtection="1">
      <alignment horizontal="right" vertical="center" wrapText="1"/>
    </xf>
    <xf numFmtId="4" fontId="48" fillId="0" borderId="16" xfId="31" applyNumberFormat="1" applyFont="1" applyFill="1" applyBorder="1" applyAlignment="1" applyProtection="1">
      <alignment horizontal="right" vertical="center" wrapText="1"/>
    </xf>
    <xf numFmtId="4" fontId="3" fillId="21" borderId="61" xfId="0" applyNumberFormat="1" applyFont="1" applyFill="1" applyBorder="1" applyAlignment="1">
      <alignment horizontal="center" vertical="center"/>
    </xf>
    <xf numFmtId="4" fontId="28" fillId="21" borderId="54" xfId="31" applyNumberFormat="1" applyFont="1" applyFill="1" applyBorder="1" applyAlignment="1" applyProtection="1">
      <alignment horizontal="right" vertical="center" wrapText="1"/>
    </xf>
    <xf numFmtId="0" fontId="6" fillId="19" borderId="57" xfId="31" applyNumberFormat="1" applyFont="1" applyFill="1" applyBorder="1" applyAlignment="1" applyProtection="1">
      <alignment horizontal="right" vertical="center" wrapText="1"/>
    </xf>
    <xf numFmtId="0" fontId="6" fillId="19" borderId="22" xfId="31" applyNumberFormat="1" applyFont="1" applyFill="1" applyBorder="1" applyAlignment="1" applyProtection="1">
      <alignment horizontal="left" vertical="center" wrapText="1"/>
    </xf>
    <xf numFmtId="0" fontId="6" fillId="19" borderId="22" xfId="31" applyNumberFormat="1" applyFont="1" applyFill="1" applyBorder="1" applyAlignment="1" applyProtection="1">
      <alignment horizontal="center" vertical="center" wrapText="1"/>
    </xf>
    <xf numFmtId="171" fontId="6" fillId="19" borderId="22" xfId="31" applyNumberFormat="1" applyFont="1" applyFill="1" applyBorder="1" applyAlignment="1" applyProtection="1">
      <alignment horizontal="right" vertical="center" wrapText="1"/>
    </xf>
    <xf numFmtId="4" fontId="6" fillId="19" borderId="22" xfId="31" applyNumberFormat="1" applyFont="1" applyFill="1" applyBorder="1" applyAlignment="1" applyProtection="1">
      <alignment horizontal="right" vertical="center" wrapText="1"/>
    </xf>
    <xf numFmtId="0" fontId="6" fillId="19" borderId="30" xfId="31" applyNumberFormat="1" applyFont="1" applyFill="1" applyBorder="1" applyAlignment="1" applyProtection="1">
      <alignment horizontal="right" vertical="center" wrapText="1"/>
    </xf>
    <xf numFmtId="0" fontId="6" fillId="19" borderId="31" xfId="31" applyNumberFormat="1" applyFont="1" applyFill="1" applyBorder="1" applyAlignment="1" applyProtection="1">
      <alignment horizontal="left" vertical="center" wrapText="1"/>
    </xf>
    <xf numFmtId="0" fontId="6" fillId="19" borderId="31" xfId="31" applyNumberFormat="1" applyFont="1" applyFill="1" applyBorder="1" applyAlignment="1" applyProtection="1">
      <alignment horizontal="center" vertical="center" wrapText="1"/>
    </xf>
    <xf numFmtId="171" fontId="6" fillId="19" borderId="31" xfId="31" applyNumberFormat="1" applyFont="1" applyFill="1" applyBorder="1" applyAlignment="1" applyProtection="1">
      <alignment horizontal="right" vertical="center" wrapText="1"/>
    </xf>
    <xf numFmtId="4" fontId="6" fillId="19" borderId="47" xfId="31" applyNumberFormat="1" applyFont="1" applyFill="1" applyBorder="1" applyAlignment="1" applyProtection="1">
      <alignment horizontal="right" vertical="center" wrapText="1"/>
    </xf>
    <xf numFmtId="4" fontId="28" fillId="19" borderId="35" xfId="31" applyNumberFormat="1" applyFont="1" applyFill="1" applyBorder="1" applyAlignment="1" applyProtection="1">
      <alignment horizontal="right" vertical="center" wrapText="1"/>
    </xf>
    <xf numFmtId="4" fontId="6" fillId="19" borderId="33" xfId="31" applyNumberFormat="1" applyFont="1" applyFill="1" applyBorder="1" applyAlignment="1" applyProtection="1">
      <alignment horizontal="right" vertical="center" wrapText="1"/>
    </xf>
    <xf numFmtId="171" fontId="48" fillId="18" borderId="20" xfId="31" applyNumberFormat="1" applyFont="1" applyFill="1" applyBorder="1" applyAlignment="1" applyProtection="1">
      <alignment horizontal="right" vertical="top" wrapText="1"/>
    </xf>
    <xf numFmtId="4" fontId="48" fillId="18" borderId="14" xfId="31" applyNumberFormat="1" applyFont="1" applyFill="1" applyBorder="1" applyAlignment="1" applyProtection="1">
      <alignment horizontal="right" vertical="center" wrapText="1"/>
    </xf>
    <xf numFmtId="171" fontId="48" fillId="0" borderId="20" xfId="31" applyNumberFormat="1" applyFont="1" applyFill="1" applyBorder="1" applyAlignment="1" applyProtection="1">
      <alignment horizontal="right" vertical="top" wrapText="1"/>
    </xf>
    <xf numFmtId="171" fontId="48" fillId="19" borderId="31" xfId="31" applyNumberFormat="1" applyFont="1" applyFill="1" applyBorder="1" applyAlignment="1" applyProtection="1">
      <alignment horizontal="right" vertical="center" wrapText="1"/>
    </xf>
    <xf numFmtId="4" fontId="48" fillId="19" borderId="33" xfId="31" applyNumberFormat="1" applyFont="1" applyFill="1" applyBorder="1" applyAlignment="1" applyProtection="1">
      <alignment horizontal="right" vertical="center" wrapText="1"/>
    </xf>
    <xf numFmtId="0" fontId="6" fillId="19" borderId="32" xfId="31" applyNumberFormat="1" applyFont="1" applyFill="1" applyBorder="1" applyAlignment="1" applyProtection="1">
      <alignment horizontal="left" vertical="top" wrapText="1"/>
    </xf>
    <xf numFmtId="4" fontId="29" fillId="21" borderId="36" xfId="31" applyNumberFormat="1" applyFont="1" applyFill="1" applyBorder="1" applyAlignment="1" applyProtection="1">
      <alignment horizontal="right" vertical="center" wrapText="1"/>
    </xf>
    <xf numFmtId="171" fontId="29" fillId="19" borderId="14" xfId="31" applyNumberFormat="1" applyFont="1" applyFill="1" applyBorder="1" applyAlignment="1" applyProtection="1">
      <alignment horizontal="right" vertical="center" wrapText="1"/>
    </xf>
    <xf numFmtId="0" fontId="29" fillId="19" borderId="14" xfId="0" applyFont="1" applyFill="1" applyBorder="1" applyAlignment="1">
      <alignment horizontal="left" vertical="center" wrapText="1"/>
    </xf>
    <xf numFmtId="171" fontId="29" fillId="19" borderId="31" xfId="31" applyNumberFormat="1" applyFont="1" applyFill="1" applyBorder="1" applyAlignment="1" applyProtection="1">
      <alignment horizontal="right" vertical="center" wrapText="1"/>
    </xf>
    <xf numFmtId="0" fontId="5" fillId="19" borderId="25" xfId="0" applyFont="1" applyFill="1" applyBorder="1" applyAlignment="1">
      <alignment vertical="center" wrapText="1"/>
    </xf>
    <xf numFmtId="0" fontId="4" fillId="19" borderId="28" xfId="31" applyNumberFormat="1" applyFont="1" applyFill="1" applyBorder="1" applyAlignment="1" applyProtection="1">
      <alignment horizontal="right" vertical="center" wrapText="1"/>
    </xf>
    <xf numFmtId="0" fontId="4" fillId="19" borderId="14" xfId="31" applyNumberFormat="1" applyFont="1" applyFill="1" applyBorder="1" applyAlignment="1" applyProtection="1">
      <alignment horizontal="left" vertical="center" wrapText="1"/>
    </xf>
    <xf numFmtId="0" fontId="4" fillId="19" borderId="14" xfId="31" applyNumberFormat="1" applyFont="1" applyFill="1" applyBorder="1" applyAlignment="1" applyProtection="1">
      <alignment horizontal="center" vertical="center" wrapText="1"/>
    </xf>
    <xf numFmtId="4" fontId="4" fillId="19" borderId="14" xfId="31" applyNumberFormat="1" applyFont="1" applyFill="1" applyBorder="1" applyAlignment="1" applyProtection="1">
      <alignment horizontal="right" vertical="center" wrapText="1"/>
    </xf>
    <xf numFmtId="4" fontId="4" fillId="19" borderId="29" xfId="31" applyNumberFormat="1" applyFont="1" applyFill="1" applyBorder="1" applyAlignment="1" applyProtection="1">
      <alignment horizontal="right" vertical="center" wrapText="1"/>
    </xf>
    <xf numFmtId="174" fontId="4" fillId="19" borderId="14" xfId="0" applyNumberFormat="1" applyFont="1" applyFill="1" applyBorder="1" applyAlignment="1">
      <alignment vertical="center"/>
    </xf>
    <xf numFmtId="174" fontId="48" fillId="19" borderId="14" xfId="0" applyNumberFormat="1" applyFont="1" applyFill="1" applyBorder="1" applyAlignment="1">
      <alignment vertical="center"/>
    </xf>
    <xf numFmtId="4" fontId="48" fillId="19" borderId="29" xfId="31" applyNumberFormat="1" applyFont="1" applyFill="1" applyBorder="1" applyAlignment="1" applyProtection="1">
      <alignment horizontal="right" vertical="center" wrapText="1"/>
    </xf>
    <xf numFmtId="174" fontId="48" fillId="19" borderId="31" xfId="0" applyNumberFormat="1" applyFont="1" applyFill="1" applyBorder="1" applyAlignment="1">
      <alignment vertical="center"/>
    </xf>
    <xf numFmtId="165" fontId="29" fillId="19" borderId="32" xfId="52" applyFont="1" applyFill="1" applyBorder="1" applyAlignment="1" applyProtection="1">
      <alignment horizontal="right" vertical="center" wrapText="1"/>
    </xf>
    <xf numFmtId="165" fontId="6" fillId="19" borderId="20" xfId="52" applyFont="1" applyFill="1" applyBorder="1" applyAlignment="1" applyProtection="1">
      <alignment horizontal="right" vertical="center" wrapText="1"/>
    </xf>
    <xf numFmtId="0" fontId="5" fillId="19" borderId="49" xfId="31" applyNumberFormat="1" applyFont="1" applyFill="1" applyBorder="1" applyAlignment="1" applyProtection="1">
      <alignment horizontal="left" vertical="center" wrapText="1"/>
    </xf>
    <xf numFmtId="4" fontId="29" fillId="18" borderId="40" xfId="31" applyNumberFormat="1" applyFont="1" applyFill="1" applyBorder="1" applyAlignment="1" applyProtection="1">
      <alignment horizontal="right" vertical="center" wrapText="1"/>
    </xf>
    <xf numFmtId="0" fontId="5" fillId="0" borderId="25" xfId="0" applyFont="1" applyBorder="1" applyAlignment="1">
      <alignment vertical="center" wrapText="1"/>
    </xf>
    <xf numFmtId="165" fontId="29" fillId="19" borderId="31" xfId="52" applyFont="1" applyFill="1" applyBorder="1" applyAlignment="1" applyProtection="1">
      <alignment horizontal="right" vertical="center" wrapText="1"/>
    </xf>
    <xf numFmtId="165" fontId="6" fillId="19" borderId="14" xfId="52" applyFont="1" applyFill="1" applyBorder="1" applyAlignment="1" applyProtection="1">
      <alignment horizontal="right" vertical="center" wrapText="1"/>
    </xf>
    <xf numFmtId="4" fontId="3" fillId="21" borderId="27" xfId="31" applyNumberFormat="1" applyFont="1" applyFill="1" applyBorder="1" applyAlignment="1" applyProtection="1">
      <alignment horizontal="right" vertical="center" wrapText="1"/>
    </xf>
    <xf numFmtId="4" fontId="35" fillId="19" borderId="40" xfId="31" applyNumberFormat="1" applyFont="1" applyFill="1" applyBorder="1" applyAlignment="1" applyProtection="1">
      <alignment horizontal="right" vertical="center" wrapText="1"/>
    </xf>
    <xf numFmtId="0" fontId="6" fillId="19" borderId="31" xfId="0" applyFont="1" applyFill="1" applyBorder="1" applyAlignment="1">
      <alignment vertical="center" wrapText="1"/>
    </xf>
    <xf numFmtId="4" fontId="29" fillId="19" borderId="35" xfId="31" applyNumberFormat="1" applyFont="1" applyFill="1" applyBorder="1" applyAlignment="1" applyProtection="1">
      <alignment horizontal="right" wrapText="1"/>
    </xf>
    <xf numFmtId="4" fontId="36" fillId="21" borderId="40" xfId="31" applyNumberFormat="1" applyFont="1" applyFill="1" applyBorder="1" applyAlignment="1" applyProtection="1">
      <alignment horizontal="right" vertical="center" wrapText="1"/>
    </xf>
    <xf numFmtId="4" fontId="36" fillId="21" borderId="36" xfId="31" applyNumberFormat="1" applyFont="1" applyFill="1" applyBorder="1" applyAlignment="1" applyProtection="1">
      <alignment horizontal="right" vertical="center" wrapText="1"/>
    </xf>
    <xf numFmtId="4" fontId="6" fillId="19" borderId="31" xfId="0" applyNumberFormat="1" applyFont="1" applyFill="1" applyBorder="1" applyAlignment="1">
      <alignment horizontal="justify" vertical="center"/>
    </xf>
    <xf numFmtId="4" fontId="3" fillId="21" borderId="71" xfId="31" applyNumberFormat="1" applyFont="1" applyFill="1" applyBorder="1" applyAlignment="1" applyProtection="1">
      <alignment horizontal="right" vertical="center" wrapText="1"/>
    </xf>
    <xf numFmtId="4" fontId="6" fillId="19" borderId="31" xfId="0" applyNumberFormat="1" applyFont="1" applyFill="1" applyBorder="1" applyAlignment="1">
      <alignment vertical="center"/>
    </xf>
    <xf numFmtId="0" fontId="6" fillId="19" borderId="25" xfId="0" applyFont="1" applyFill="1" applyBorder="1" applyAlignment="1">
      <alignment vertical="center" wrapText="1"/>
    </xf>
    <xf numFmtId="0" fontId="5" fillId="0" borderId="102" xfId="0" applyFont="1" applyBorder="1" applyAlignment="1">
      <alignment vertical="center" wrapText="1"/>
    </xf>
    <xf numFmtId="171" fontId="48" fillId="19" borderId="22" xfId="31" applyNumberFormat="1" applyFont="1" applyFill="1" applyBorder="1" applyAlignment="1" applyProtection="1">
      <alignment horizontal="right" vertical="center" wrapText="1"/>
    </xf>
    <xf numFmtId="165" fontId="29" fillId="0" borderId="51" xfId="52" applyFont="1" applyFill="1" applyBorder="1" applyAlignment="1" applyProtection="1">
      <alignment horizontal="right" vertical="center" wrapText="1"/>
    </xf>
    <xf numFmtId="4" fontId="48" fillId="19" borderId="58" xfId="31" applyNumberFormat="1" applyFont="1" applyFill="1" applyBorder="1" applyAlignment="1" applyProtection="1">
      <alignment horizontal="right" vertical="center" wrapText="1"/>
    </xf>
    <xf numFmtId="165" fontId="29" fillId="0" borderId="31" xfId="52" applyFont="1" applyFill="1" applyBorder="1" applyAlignment="1" applyProtection="1">
      <alignment horizontal="right" vertical="center" wrapText="1"/>
    </xf>
    <xf numFmtId="0" fontId="6" fillId="19" borderId="31" xfId="0" applyFont="1" applyFill="1" applyBorder="1" applyAlignment="1">
      <alignment horizontal="justify" vertical="center"/>
    </xf>
    <xf numFmtId="0" fontId="3" fillId="19" borderId="25" xfId="0" applyFont="1" applyFill="1" applyBorder="1" applyAlignment="1">
      <alignment horizontal="left" vertical="center" wrapText="1"/>
    </xf>
    <xf numFmtId="0" fontId="3" fillId="19" borderId="25" xfId="0" applyFont="1" applyFill="1" applyBorder="1" applyAlignment="1">
      <alignment horizontal="center" vertical="center" wrapText="1"/>
    </xf>
    <xf numFmtId="165" fontId="6" fillId="21" borderId="71" xfId="52" applyFont="1" applyFill="1" applyBorder="1" applyAlignment="1">
      <alignment horizontal="right" wrapText="1"/>
    </xf>
    <xf numFmtId="4" fontId="36" fillId="0" borderId="35" xfId="31" applyNumberFormat="1" applyFont="1" applyFill="1" applyBorder="1" applyAlignment="1" applyProtection="1">
      <alignment horizontal="right" vertical="center" wrapText="1"/>
    </xf>
    <xf numFmtId="4" fontId="36" fillId="0" borderId="40" xfId="31" applyNumberFormat="1" applyFont="1" applyFill="1" applyBorder="1" applyAlignment="1" applyProtection="1">
      <alignment horizontal="right" vertical="top" wrapText="1"/>
    </xf>
    <xf numFmtId="4" fontId="48" fillId="21" borderId="36" xfId="31" applyNumberFormat="1" applyFont="1" applyFill="1" applyBorder="1" applyAlignment="1" applyProtection="1">
      <alignment horizontal="right" wrapText="1"/>
    </xf>
    <xf numFmtId="171" fontId="3" fillId="19" borderId="25" xfId="0" applyNumberFormat="1" applyFont="1" applyFill="1" applyBorder="1" applyAlignment="1">
      <alignment horizontal="right" vertical="center" wrapText="1"/>
    </xf>
    <xf numFmtId="171" fontId="6" fillId="19" borderId="31" xfId="0" applyNumberFormat="1" applyFont="1" applyFill="1" applyBorder="1" applyAlignment="1">
      <alignment horizontal="right" vertical="center" wrapText="1"/>
    </xf>
    <xf numFmtId="0" fontId="48" fillId="0" borderId="14" xfId="0" applyFont="1" applyFill="1" applyBorder="1" applyAlignment="1">
      <alignment horizontal="left" vertical="center" wrapText="1"/>
    </xf>
    <xf numFmtId="4" fontId="3" fillId="19" borderId="25" xfId="31" applyNumberFormat="1" applyFont="1" applyFill="1" applyBorder="1" applyAlignment="1" applyProtection="1">
      <alignment horizontal="right" vertical="center" wrapText="1"/>
    </xf>
    <xf numFmtId="4" fontId="36" fillId="19" borderId="40" xfId="31" applyNumberFormat="1" applyFont="1" applyFill="1" applyBorder="1" applyAlignment="1" applyProtection="1">
      <alignment horizontal="right" vertical="center" wrapText="1"/>
    </xf>
    <xf numFmtId="0" fontId="48" fillId="19" borderId="14" xfId="0" applyFont="1" applyFill="1" applyBorder="1" applyAlignment="1">
      <alignment horizontal="left" vertical="center" wrapText="1"/>
    </xf>
    <xf numFmtId="165" fontId="48" fillId="0" borderId="14" xfId="52" applyFont="1" applyFill="1" applyBorder="1" applyAlignment="1" applyProtection="1">
      <alignment horizontal="right" vertical="center" wrapText="1"/>
    </xf>
    <xf numFmtId="0" fontId="6" fillId="0" borderId="31" xfId="31" applyNumberFormat="1" applyFont="1" applyFill="1" applyBorder="1" applyAlignment="1" applyProtection="1">
      <alignment horizontal="justify" vertical="center" wrapText="1"/>
    </xf>
    <xf numFmtId="171" fontId="6" fillId="0" borderId="51" xfId="31" applyNumberFormat="1" applyFont="1" applyFill="1" applyBorder="1" applyAlignment="1" applyProtection="1">
      <alignment horizontal="right" vertical="center" wrapText="1"/>
    </xf>
    <xf numFmtId="0" fontId="5" fillId="19" borderId="25" xfId="31" applyNumberFormat="1" applyFont="1" applyFill="1" applyBorder="1" applyAlignment="1" applyProtection="1">
      <alignment horizontal="center" vertical="center" wrapText="1"/>
    </xf>
    <xf numFmtId="171" fontId="5" fillId="19" borderId="25" xfId="31" applyNumberFormat="1" applyFont="1" applyFill="1" applyBorder="1" applyAlignment="1" applyProtection="1">
      <alignment horizontal="right" vertical="center" wrapText="1"/>
    </xf>
    <xf numFmtId="4" fontId="37" fillId="19" borderId="25" xfId="31" applyNumberFormat="1" applyFont="1" applyFill="1" applyBorder="1" applyAlignment="1" applyProtection="1">
      <alignment horizontal="right" vertical="center" wrapText="1"/>
    </xf>
    <xf numFmtId="4" fontId="5" fillId="19" borderId="27" xfId="31" applyNumberFormat="1" applyFont="1" applyFill="1" applyBorder="1" applyAlignment="1" applyProtection="1">
      <alignment horizontal="right" vertical="center" wrapText="1"/>
    </xf>
    <xf numFmtId="171" fontId="35" fillId="19" borderId="14" xfId="31" applyNumberFormat="1" applyFont="1" applyFill="1" applyBorder="1" applyAlignment="1" applyProtection="1">
      <alignment horizontal="right" vertical="top" wrapText="1"/>
    </xf>
    <xf numFmtId="171" fontId="48" fillId="19" borderId="14" xfId="31" applyNumberFormat="1" applyFont="1" applyFill="1" applyBorder="1" applyAlignment="1" applyProtection="1">
      <alignment horizontal="right" vertical="top" wrapText="1"/>
    </xf>
    <xf numFmtId="172" fontId="6" fillId="19" borderId="14" xfId="31" applyNumberFormat="1" applyFont="1" applyFill="1" applyBorder="1" applyAlignment="1" applyProtection="1">
      <alignment horizontal="right" vertical="center" wrapText="1"/>
    </xf>
    <xf numFmtId="174" fontId="6" fillId="19" borderId="14" xfId="0" applyNumberFormat="1" applyFont="1" applyFill="1" applyBorder="1" applyAlignment="1">
      <alignment vertical="center"/>
    </xf>
    <xf numFmtId="171" fontId="6" fillId="19" borderId="31" xfId="31" applyNumberFormat="1" applyFont="1" applyFill="1" applyBorder="1" applyAlignment="1" applyProtection="1">
      <alignment horizontal="right" vertical="top" wrapText="1"/>
    </xf>
    <xf numFmtId="4" fontId="35" fillId="19" borderId="35" xfId="31" applyNumberFormat="1" applyFont="1" applyFill="1" applyBorder="1" applyAlignment="1" applyProtection="1">
      <alignment horizontal="center" vertical="center" wrapText="1"/>
    </xf>
    <xf numFmtId="4" fontId="36" fillId="21" borderId="40" xfId="31" applyNumberFormat="1" applyFont="1" applyFill="1" applyBorder="1" applyAlignment="1" applyProtection="1">
      <alignment horizontal="center" vertical="center" wrapText="1"/>
    </xf>
    <xf numFmtId="0" fontId="35" fillId="19" borderId="0" xfId="0" applyFont="1" applyFill="1" applyBorder="1" applyAlignment="1">
      <alignment horizontal="justify" vertical="center"/>
    </xf>
    <xf numFmtId="0" fontId="6" fillId="19" borderId="0" xfId="0" applyFont="1" applyFill="1" applyBorder="1" applyAlignment="1">
      <alignment horizontal="justify" vertical="center"/>
    </xf>
    <xf numFmtId="0" fontId="35" fillId="19" borderId="0" xfId="31" applyNumberFormat="1" applyFont="1" applyFill="1" applyBorder="1" applyAlignment="1" applyProtection="1">
      <alignment horizontal="left" vertical="center" wrapText="1"/>
    </xf>
    <xf numFmtId="0" fontId="3" fillId="26" borderId="64" xfId="31" applyNumberFormat="1" applyFont="1" applyFill="1" applyBorder="1" applyAlignment="1" applyProtection="1">
      <alignment horizontal="center" vertical="center" wrapText="1"/>
    </xf>
    <xf numFmtId="171" fontId="3" fillId="26" borderId="64" xfId="31" applyNumberFormat="1" applyFont="1" applyFill="1" applyBorder="1" applyAlignment="1" applyProtection="1">
      <alignment horizontal="center" vertical="center" wrapText="1"/>
    </xf>
    <xf numFmtId="4" fontId="3" fillId="26" borderId="64" xfId="31" applyNumberFormat="1" applyFont="1" applyFill="1" applyBorder="1" applyAlignment="1" applyProtection="1">
      <alignment horizontal="center" vertical="center" wrapText="1"/>
    </xf>
    <xf numFmtId="4" fontId="3" fillId="26" borderId="65" xfId="31" applyNumberFormat="1" applyFont="1" applyFill="1" applyBorder="1" applyAlignment="1" applyProtection="1">
      <alignment horizontal="center" vertical="center" wrapText="1"/>
    </xf>
    <xf numFmtId="0" fontId="3" fillId="25" borderId="12" xfId="31" applyFont="1" applyFill="1" applyBorder="1" applyAlignment="1">
      <alignment vertical="center" wrapText="1"/>
    </xf>
    <xf numFmtId="0" fontId="3" fillId="25" borderId="13" xfId="31" applyFont="1" applyFill="1" applyBorder="1" applyAlignment="1">
      <alignment vertical="center" wrapText="1"/>
    </xf>
    <xf numFmtId="4" fontId="31" fillId="19" borderId="49" xfId="31" applyNumberFormat="1" applyFont="1" applyFill="1" applyBorder="1" applyAlignment="1" applyProtection="1">
      <alignment horizontal="right" vertical="center" wrapText="1"/>
    </xf>
    <xf numFmtId="4" fontId="4" fillId="21" borderId="61" xfId="31" applyNumberFormat="1" applyFont="1" applyFill="1" applyBorder="1" applyAlignment="1" applyProtection="1">
      <alignment horizontal="center" vertical="center" wrapText="1"/>
    </xf>
    <xf numFmtId="4" fontId="3" fillId="21" borderId="61" xfId="31" applyNumberFormat="1" applyFont="1" applyFill="1" applyBorder="1" applyAlignment="1" applyProtection="1">
      <alignment horizontal="center" vertical="center" wrapText="1"/>
    </xf>
    <xf numFmtId="4" fontId="29" fillId="0" borderId="96" xfId="31" applyNumberFormat="1" applyFont="1" applyFill="1" applyBorder="1" applyAlignment="1" applyProtection="1">
      <alignment horizontal="center" vertical="center" wrapText="1"/>
    </xf>
    <xf numFmtId="4" fontId="4" fillId="18" borderId="52" xfId="31" applyNumberFormat="1" applyFont="1" applyFill="1" applyBorder="1" applyAlignment="1" applyProtection="1">
      <alignment horizontal="center" vertical="center" wrapText="1"/>
    </xf>
    <xf numFmtId="4" fontId="3" fillId="18" borderId="44" xfId="31" applyNumberFormat="1" applyFont="1" applyFill="1" applyBorder="1" applyAlignment="1" applyProtection="1">
      <alignment horizontal="right" vertical="center" wrapText="1"/>
    </xf>
    <xf numFmtId="0" fontId="5" fillId="26" borderId="63" xfId="0" applyFont="1" applyFill="1" applyBorder="1" applyAlignment="1">
      <alignment horizontal="center" vertical="center"/>
    </xf>
    <xf numFmtId="0" fontId="3" fillId="21" borderId="68" xfId="31" applyNumberFormat="1" applyFont="1" applyFill="1" applyBorder="1" applyAlignment="1" applyProtection="1">
      <alignment horizontal="center" vertical="center" wrapText="1"/>
    </xf>
    <xf numFmtId="0" fontId="4" fillId="0" borderId="55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5" fillId="21" borderId="68" xfId="31" applyNumberFormat="1" applyFont="1" applyFill="1" applyBorder="1" applyAlignment="1" applyProtection="1">
      <alignment horizontal="center" vertical="center" wrapText="1"/>
    </xf>
    <xf numFmtId="0" fontId="5" fillId="0" borderId="34" xfId="31" applyNumberFormat="1" applyFont="1" applyFill="1" applyBorder="1" applyAlignment="1" applyProtection="1">
      <alignment horizontal="center" vertical="center" wrapText="1"/>
    </xf>
    <xf numFmtId="171" fontId="5" fillId="18" borderId="4" xfId="31" applyNumberFormat="1" applyFont="1" applyFill="1" applyBorder="1" applyAlignment="1" applyProtection="1">
      <alignment horizontal="right" vertical="center" wrapText="1"/>
    </xf>
    <xf numFmtId="4" fontId="5" fillId="0" borderId="97" xfId="31" applyNumberFormat="1" applyFont="1" applyFill="1" applyBorder="1" applyAlignment="1" applyProtection="1">
      <alignment horizontal="right" vertical="center" wrapText="1"/>
    </xf>
    <xf numFmtId="0" fontId="29" fillId="0" borderId="92" xfId="31" applyNumberFormat="1" applyFont="1" applyFill="1" applyBorder="1" applyAlignment="1" applyProtection="1">
      <alignment horizontal="right" vertical="center" wrapText="1"/>
    </xf>
    <xf numFmtId="0" fontId="3" fillId="21" borderId="106" xfId="31" applyNumberFormat="1" applyFont="1" applyFill="1" applyBorder="1" applyAlignment="1" applyProtection="1">
      <alignment horizontal="center" vertical="center" wrapText="1"/>
    </xf>
    <xf numFmtId="0" fontId="3" fillId="21" borderId="107" xfId="31" applyNumberFormat="1" applyFont="1" applyFill="1" applyBorder="1" applyAlignment="1" applyProtection="1">
      <alignment horizontal="center" vertical="center" wrapText="1"/>
    </xf>
    <xf numFmtId="0" fontId="6" fillId="0" borderId="108" xfId="31" applyNumberFormat="1" applyFont="1" applyFill="1" applyBorder="1" applyAlignment="1" applyProtection="1">
      <alignment horizontal="right" vertical="center" wrapText="1"/>
    </xf>
    <xf numFmtId="4" fontId="3" fillId="0" borderId="34" xfId="0" applyNumberFormat="1" applyFont="1" applyFill="1" applyBorder="1" applyAlignment="1">
      <alignment horizontal="justify" vertical="center"/>
    </xf>
    <xf numFmtId="0" fontId="41" fillId="21" borderId="56" xfId="31" applyNumberFormat="1" applyFont="1" applyFill="1" applyBorder="1" applyAlignment="1" applyProtection="1">
      <alignment horizontal="center" vertical="center" wrapText="1"/>
    </xf>
    <xf numFmtId="171" fontId="3" fillId="0" borderId="4" xfId="31" applyNumberFormat="1" applyFont="1" applyFill="1" applyBorder="1" applyAlignment="1" applyProtection="1">
      <alignment horizontal="right" vertical="top" wrapText="1"/>
    </xf>
    <xf numFmtId="4" fontId="3" fillId="0" borderId="0" xfId="0" applyNumberFormat="1" applyFont="1" applyFill="1" applyBorder="1" applyAlignment="1">
      <alignment horizontal="justify" vertical="center"/>
    </xf>
    <xf numFmtId="4" fontId="41" fillId="0" borderId="72" xfId="31" applyNumberFormat="1" applyFont="1" applyFill="1" applyBorder="1" applyAlignment="1" applyProtection="1">
      <alignment horizontal="right" vertical="center" wrapText="1"/>
    </xf>
    <xf numFmtId="4" fontId="3" fillId="0" borderId="48" xfId="31" applyNumberFormat="1" applyFont="1" applyFill="1" applyBorder="1" applyAlignment="1" applyProtection="1">
      <alignment horizontal="right" vertical="center" wrapText="1"/>
    </xf>
    <xf numFmtId="0" fontId="3" fillId="21" borderId="6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/>
    </xf>
    <xf numFmtId="171" fontId="3" fillId="0" borderId="34" xfId="0" applyNumberFormat="1" applyFont="1" applyFill="1" applyBorder="1" applyAlignment="1">
      <alignment horizontal="right" vertical="center" wrapText="1"/>
    </xf>
    <xf numFmtId="171" fontId="3" fillId="18" borderId="34" xfId="31" applyNumberFormat="1" applyFont="1" applyFill="1" applyBorder="1" applyAlignment="1" applyProtection="1">
      <alignment horizontal="right" vertical="center" wrapText="1"/>
    </xf>
    <xf numFmtId="4" fontId="5" fillId="0" borderId="34" xfId="31" applyNumberFormat="1" applyFont="1" applyFill="1" applyBorder="1" applyAlignment="1" applyProtection="1">
      <alignment horizontal="right" vertical="center" wrapText="1"/>
    </xf>
    <xf numFmtId="0" fontId="3" fillId="21" borderId="106" xfId="0" applyFont="1" applyFill="1" applyBorder="1" applyAlignment="1">
      <alignment horizontal="center" vertical="center" wrapText="1"/>
    </xf>
    <xf numFmtId="0" fontId="5" fillId="21" borderId="56" xfId="31" applyNumberFormat="1" applyFont="1" applyFill="1" applyBorder="1" applyAlignment="1" applyProtection="1">
      <alignment horizontal="center" vertical="center" wrapText="1"/>
    </xf>
    <xf numFmtId="0" fontId="5" fillId="21" borderId="56" xfId="0" applyFont="1" applyFill="1" applyBorder="1" applyAlignment="1">
      <alignment horizontal="center" vertical="center" wrapText="1"/>
    </xf>
    <xf numFmtId="0" fontId="6" fillId="0" borderId="92" xfId="0" applyFont="1" applyFill="1" applyBorder="1" applyAlignment="1">
      <alignment horizontal="right" vertical="center" wrapText="1"/>
    </xf>
    <xf numFmtId="0" fontId="6" fillId="0" borderId="93" xfId="0" applyFont="1" applyFill="1" applyBorder="1" applyAlignment="1">
      <alignment horizontal="right" vertical="center" wrapText="1"/>
    </xf>
    <xf numFmtId="0" fontId="6" fillId="0" borderId="56" xfId="31" applyNumberFormat="1" applyFont="1" applyFill="1" applyBorder="1" applyAlignment="1" applyProtection="1">
      <alignment horizontal="center" vertical="center" wrapText="1"/>
    </xf>
    <xf numFmtId="171" fontId="3" fillId="0" borderId="34" xfId="0" applyNumberFormat="1" applyFont="1" applyBorder="1" applyAlignment="1">
      <alignment horizontal="right" vertical="center" wrapText="1"/>
    </xf>
    <xf numFmtId="0" fontId="6" fillId="19" borderId="92" xfId="31" applyNumberFormat="1" applyFont="1" applyFill="1" applyBorder="1" applyAlignment="1" applyProtection="1">
      <alignment horizontal="right" vertical="center" wrapText="1"/>
    </xf>
    <xf numFmtId="0" fontId="6" fillId="19" borderId="93" xfId="0" applyFont="1" applyFill="1" applyBorder="1" applyAlignment="1">
      <alignment horizontal="right" vertical="center" wrapText="1"/>
    </xf>
    <xf numFmtId="0" fontId="5" fillId="21" borderId="106" xfId="31" applyNumberFormat="1" applyFont="1" applyFill="1" applyBorder="1" applyAlignment="1" applyProtection="1">
      <alignment horizontal="center" vertical="center" wrapText="1"/>
    </xf>
    <xf numFmtId="0" fontId="3" fillId="19" borderId="34" xfId="31" applyNumberFormat="1" applyFont="1" applyFill="1" applyBorder="1" applyAlignment="1" applyProtection="1">
      <alignment horizontal="left" vertical="center" wrapText="1"/>
    </xf>
    <xf numFmtId="0" fontId="3" fillId="19" borderId="34" xfId="31" applyNumberFormat="1" applyFont="1" applyFill="1" applyBorder="1" applyAlignment="1" applyProtection="1">
      <alignment horizontal="center" vertical="center" wrapText="1"/>
    </xf>
    <xf numFmtId="171" fontId="3" fillId="19" borderId="4" xfId="31" applyNumberFormat="1" applyFont="1" applyFill="1" applyBorder="1" applyAlignment="1" applyProtection="1">
      <alignment horizontal="right" vertical="center" wrapText="1"/>
    </xf>
    <xf numFmtId="4" fontId="31" fillId="19" borderId="34" xfId="31" applyNumberFormat="1" applyFont="1" applyFill="1" applyBorder="1" applyAlignment="1" applyProtection="1">
      <alignment horizontal="right" vertical="center" wrapText="1"/>
    </xf>
    <xf numFmtId="4" fontId="3" fillId="19" borderId="97" xfId="31" applyNumberFormat="1" applyFont="1" applyFill="1" applyBorder="1" applyAlignment="1" applyProtection="1">
      <alignment horizontal="right" vertical="center" wrapText="1"/>
    </xf>
    <xf numFmtId="0" fontId="5" fillId="19" borderId="34" xfId="31" applyNumberFormat="1" applyFont="1" applyFill="1" applyBorder="1" applyAlignment="1" applyProtection="1">
      <alignment horizontal="left" vertical="center" wrapText="1"/>
    </xf>
    <xf numFmtId="4" fontId="3" fillId="19" borderId="48" xfId="31" applyNumberFormat="1" applyFont="1" applyFill="1" applyBorder="1" applyAlignment="1" applyProtection="1">
      <alignment horizontal="right" vertical="center" wrapText="1"/>
    </xf>
    <xf numFmtId="0" fontId="48" fillId="0" borderId="92" xfId="31" applyNumberFormat="1" applyFont="1" applyFill="1" applyBorder="1" applyAlignment="1" applyProtection="1">
      <alignment horizontal="right" vertical="center" wrapText="1"/>
    </xf>
    <xf numFmtId="0" fontId="3" fillId="21" borderId="68" xfId="31" applyFont="1" applyFill="1" applyBorder="1" applyAlignment="1" applyProtection="1">
      <alignment horizontal="center" vertical="center" wrapText="1"/>
    </xf>
    <xf numFmtId="0" fontId="5" fillId="21" borderId="24" xfId="31" applyFont="1" applyFill="1" applyBorder="1" applyAlignment="1" applyProtection="1">
      <alignment horizontal="center" vertical="center" wrapText="1"/>
    </xf>
    <xf numFmtId="0" fontId="3" fillId="21" borderId="103" xfId="31" applyNumberFormat="1" applyFont="1" applyFill="1" applyBorder="1" applyAlignment="1" applyProtection="1">
      <alignment horizontal="center" vertical="center" wrapText="1"/>
    </xf>
    <xf numFmtId="0" fontId="5" fillId="21" borderId="88" xfId="31" applyFont="1" applyFill="1" applyBorder="1" applyAlignment="1" applyProtection="1">
      <alignment horizontal="center" vertical="center" wrapText="1"/>
    </xf>
    <xf numFmtId="0" fontId="6" fillId="19" borderId="93" xfId="31" applyNumberFormat="1" applyFont="1" applyFill="1" applyBorder="1" applyAlignment="1" applyProtection="1">
      <alignment horizontal="right" vertical="center" wrapText="1"/>
    </xf>
    <xf numFmtId="0" fontId="3" fillId="21" borderId="18" xfId="31" applyNumberFormat="1" applyFont="1" applyFill="1" applyBorder="1" applyAlignment="1" applyProtection="1">
      <alignment horizontal="center" vertical="center" wrapText="1"/>
    </xf>
    <xf numFmtId="0" fontId="35" fillId="19" borderId="92" xfId="31" applyNumberFormat="1" applyFont="1" applyFill="1" applyBorder="1" applyAlignment="1" applyProtection="1">
      <alignment horizontal="right" vertical="center" wrapText="1"/>
    </xf>
    <xf numFmtId="0" fontId="3" fillId="19" borderId="34" xfId="0" applyFont="1" applyFill="1" applyBorder="1" applyAlignment="1">
      <alignment horizontal="left" vertical="center" wrapText="1"/>
    </xf>
    <xf numFmtId="0" fontId="3" fillId="19" borderId="34" xfId="0" applyFont="1" applyFill="1" applyBorder="1" applyAlignment="1">
      <alignment horizontal="center" vertical="center" wrapText="1"/>
    </xf>
    <xf numFmtId="171" fontId="3" fillId="19" borderId="34" xfId="0" applyNumberFormat="1" applyFont="1" applyFill="1" applyBorder="1" applyAlignment="1">
      <alignment horizontal="right" vertical="center" wrapText="1"/>
    </xf>
    <xf numFmtId="0" fontId="5" fillId="19" borderId="34" xfId="31" applyNumberFormat="1" applyFont="1" applyFill="1" applyBorder="1" applyAlignment="1" applyProtection="1">
      <alignment horizontal="center" vertical="center" wrapText="1"/>
    </xf>
    <xf numFmtId="171" fontId="5" fillId="19" borderId="34" xfId="31" applyNumberFormat="1" applyFont="1" applyFill="1" applyBorder="1" applyAlignment="1" applyProtection="1">
      <alignment horizontal="right" vertical="center" wrapText="1"/>
    </xf>
    <xf numFmtId="4" fontId="37" fillId="19" borderId="34" xfId="31" applyNumberFormat="1" applyFont="1" applyFill="1" applyBorder="1" applyAlignment="1" applyProtection="1">
      <alignment horizontal="right" vertical="center" wrapText="1"/>
    </xf>
    <xf numFmtId="4" fontId="5" fillId="19" borderId="97" xfId="31" applyNumberFormat="1" applyFont="1" applyFill="1" applyBorder="1" applyAlignment="1" applyProtection="1">
      <alignment horizontal="right" vertical="center" wrapText="1"/>
    </xf>
    <xf numFmtId="0" fontId="49" fillId="0" borderId="0" xfId="0" applyFont="1" applyBorder="1" applyAlignment="1">
      <alignment horizontal="right" wrapText="1"/>
    </xf>
    <xf numFmtId="0" fontId="26" fillId="0" borderId="21" xfId="0" applyFont="1" applyBorder="1" applyAlignment="1">
      <alignment wrapText="1"/>
    </xf>
    <xf numFmtId="178" fontId="6" fillId="0" borderId="21" xfId="0" applyNumberFormat="1" applyFont="1" applyBorder="1" applyAlignment="1">
      <alignment horizontal="center" vertical="center" wrapText="1"/>
    </xf>
    <xf numFmtId="0" fontId="47" fillId="0" borderId="21" xfId="0" applyFont="1" applyBorder="1" applyAlignment="1">
      <alignment vertical="center"/>
    </xf>
    <xf numFmtId="0" fontId="49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3" fillId="25" borderId="88" xfId="0" applyNumberFormat="1" applyFont="1" applyFill="1" applyBorder="1" applyAlignment="1">
      <alignment vertical="center"/>
    </xf>
    <xf numFmtId="0" fontId="3" fillId="25" borderId="87" xfId="31" applyNumberFormat="1" applyFont="1" applyFill="1" applyBorder="1" applyAlignment="1" applyProtection="1">
      <alignment horizontal="left" vertical="center" wrapText="1"/>
    </xf>
    <xf numFmtId="4" fontId="3" fillId="24" borderId="61" xfId="31" applyNumberFormat="1" applyFont="1" applyFill="1" applyBorder="1" applyAlignment="1" applyProtection="1">
      <alignment vertical="center" wrapText="1"/>
    </xf>
    <xf numFmtId="0" fontId="46" fillId="17" borderId="89" xfId="31" applyNumberFormat="1" applyFont="1" applyFill="1" applyBorder="1" applyAlignment="1" applyProtection="1">
      <alignment vertical="center" wrapText="1"/>
    </xf>
    <xf numFmtId="0" fontId="46" fillId="17" borderId="105" xfId="31" applyNumberFormat="1" applyFont="1" applyFill="1" applyBorder="1" applyAlignment="1" applyProtection="1">
      <alignment vertical="center" wrapText="1"/>
    </xf>
    <xf numFmtId="4" fontId="28" fillId="19" borderId="44" xfId="31" applyNumberFormat="1" applyFont="1" applyFill="1" applyBorder="1" applyAlignment="1" applyProtection="1">
      <alignment horizontal="center" vertical="center" wrapText="1"/>
    </xf>
    <xf numFmtId="165" fontId="6" fillId="0" borderId="22" xfId="52" applyFont="1" applyFill="1" applyBorder="1" applyAlignment="1" applyProtection="1">
      <alignment horizontal="right" vertical="center" wrapText="1"/>
    </xf>
    <xf numFmtId="165" fontId="6" fillId="0" borderId="58" xfId="52" applyFont="1" applyBorder="1" applyAlignment="1">
      <alignment vertical="center"/>
    </xf>
    <xf numFmtId="0" fontId="6" fillId="19" borderId="108" xfId="31" applyNumberFormat="1" applyFont="1" applyFill="1" applyBorder="1" applyAlignment="1" applyProtection="1">
      <alignment horizontal="right" vertical="center" wrapText="1"/>
    </xf>
    <xf numFmtId="0" fontId="6" fillId="19" borderId="51" xfId="31" applyNumberFormat="1" applyFont="1" applyFill="1" applyBorder="1" applyAlignment="1" applyProtection="1">
      <alignment horizontal="left" vertical="top" wrapText="1"/>
    </xf>
    <xf numFmtId="4" fontId="6" fillId="19" borderId="58" xfId="31" applyNumberFormat="1" applyFont="1" applyFill="1" applyBorder="1" applyAlignment="1" applyProtection="1">
      <alignment horizontal="right" vertical="center" wrapText="1"/>
    </xf>
    <xf numFmtId="4" fontId="28" fillId="21" borderId="96" xfId="31" applyNumberFormat="1" applyFont="1" applyFill="1" applyBorder="1" applyAlignment="1" applyProtection="1">
      <alignment horizontal="right" vertical="center" wrapText="1"/>
    </xf>
    <xf numFmtId="4" fontId="36" fillId="19" borderId="96" xfId="31" applyNumberFormat="1" applyFont="1" applyFill="1" applyBorder="1" applyAlignment="1" applyProtection="1">
      <alignment horizontal="right" vertical="center" wrapText="1"/>
    </xf>
    <xf numFmtId="4" fontId="3" fillId="21" borderId="61" xfId="31" applyNumberFormat="1" applyFont="1" applyFill="1" applyBorder="1" applyAlignment="1" applyProtection="1">
      <alignment horizontal="center" vertical="top" wrapText="1"/>
    </xf>
    <xf numFmtId="4" fontId="3" fillId="21" borderId="61" xfId="0" applyNumberFormat="1" applyFont="1" applyFill="1" applyBorder="1" applyAlignment="1">
      <alignment horizontal="center" vertical="center" wrapText="1"/>
    </xf>
    <xf numFmtId="4" fontId="35" fillId="18" borderId="19" xfId="42" applyNumberFormat="1" applyFont="1" applyFill="1" applyBorder="1" applyAlignment="1" applyProtection="1">
      <alignment vertical="center" wrapText="1"/>
    </xf>
    <xf numFmtId="4" fontId="5" fillId="21" borderId="61" xfId="31" applyNumberFormat="1" applyFont="1" applyFill="1" applyBorder="1" applyAlignment="1" applyProtection="1">
      <alignment horizontal="center" vertical="center" wrapText="1"/>
    </xf>
    <xf numFmtId="4" fontId="5" fillId="21" borderId="61" xfId="31" applyNumberFormat="1" applyFont="1" applyFill="1" applyBorder="1" applyAlignment="1" applyProtection="1">
      <alignment horizontal="center" wrapText="1"/>
    </xf>
    <xf numFmtId="4" fontId="6" fillId="21" borderId="61" xfId="31" applyNumberFormat="1" applyFont="1" applyFill="1" applyBorder="1" applyAlignment="1" applyProtection="1">
      <alignment horizontal="center" vertical="center" wrapText="1"/>
    </xf>
    <xf numFmtId="4" fontId="4" fillId="21" borderId="61" xfId="0" applyNumberFormat="1" applyFont="1" applyFill="1" applyBorder="1" applyAlignment="1">
      <alignment horizontal="center" vertical="center"/>
    </xf>
    <xf numFmtId="4" fontId="5" fillId="21" borderId="109" xfId="31" applyNumberFormat="1" applyFont="1" applyFill="1" applyBorder="1" applyAlignment="1" applyProtection="1">
      <alignment horizontal="center" vertical="center" wrapText="1"/>
    </xf>
    <xf numFmtId="4" fontId="6" fillId="19" borderId="41" xfId="0" applyNumberFormat="1" applyFont="1" applyFill="1" applyBorder="1" applyAlignment="1">
      <alignment horizontal="center" vertical="center"/>
    </xf>
    <xf numFmtId="4" fontId="6" fillId="19" borderId="42" xfId="0" applyNumberFormat="1" applyFont="1" applyFill="1" applyBorder="1" applyAlignment="1">
      <alignment horizontal="center" vertical="center"/>
    </xf>
    <xf numFmtId="4" fontId="6" fillId="19" borderId="43" xfId="0" applyNumberFormat="1" applyFont="1" applyFill="1" applyBorder="1" applyAlignment="1">
      <alignment horizontal="center" vertical="center"/>
    </xf>
    <xf numFmtId="4" fontId="4" fillId="0" borderId="41" xfId="0" applyNumberFormat="1" applyFont="1" applyFill="1" applyBorder="1" applyAlignment="1">
      <alignment horizontal="center" vertical="center"/>
    </xf>
    <xf numFmtId="4" fontId="28" fillId="21" borderId="42" xfId="31" applyNumberFormat="1" applyFont="1" applyFill="1" applyBorder="1" applyAlignment="1" applyProtection="1">
      <alignment horizontal="center" vertical="center" wrapText="1"/>
    </xf>
    <xf numFmtId="4" fontId="4" fillId="0" borderId="42" xfId="0" applyNumberFormat="1" applyFont="1" applyFill="1" applyBorder="1" applyAlignment="1">
      <alignment horizontal="center" vertical="center"/>
    </xf>
    <xf numFmtId="4" fontId="4" fillId="0" borderId="43" xfId="0" applyNumberFormat="1" applyFont="1" applyFill="1" applyBorder="1" applyAlignment="1">
      <alignment horizontal="center" vertical="center"/>
    </xf>
    <xf numFmtId="4" fontId="28" fillId="21" borderId="110" xfId="31" applyNumberFormat="1" applyFont="1" applyFill="1" applyBorder="1" applyAlignment="1" applyProtection="1">
      <alignment horizontal="center" vertical="center" wrapText="1"/>
    </xf>
    <xf numFmtId="4" fontId="4" fillId="0" borderId="111" xfId="0" applyNumberFormat="1" applyFont="1" applyFill="1" applyBorder="1" applyAlignment="1">
      <alignment horizontal="center" vertical="center"/>
    </xf>
    <xf numFmtId="4" fontId="3" fillId="0" borderId="112" xfId="31" applyNumberFormat="1" applyFont="1" applyFill="1" applyBorder="1" applyAlignment="1" applyProtection="1">
      <alignment horizontal="right" vertical="center" wrapText="1"/>
    </xf>
    <xf numFmtId="4" fontId="4" fillId="0" borderId="112" xfId="31" applyNumberFormat="1" applyFont="1" applyFill="1" applyBorder="1" applyAlignment="1" applyProtection="1">
      <alignment horizontal="right" vertical="center" wrapText="1"/>
    </xf>
    <xf numFmtId="4" fontId="3" fillId="0" borderId="112" xfId="52" applyNumberFormat="1" applyFont="1" applyFill="1" applyBorder="1" applyAlignment="1" applyProtection="1">
      <alignment horizontal="right" vertical="center" wrapText="1"/>
    </xf>
    <xf numFmtId="4" fontId="5" fillId="0" borderId="112" xfId="31" applyNumberFormat="1" applyFont="1" applyFill="1" applyBorder="1" applyAlignment="1" applyProtection="1">
      <alignment horizontal="right" vertical="center" wrapText="1"/>
    </xf>
    <xf numFmtId="4" fontId="29" fillId="0" borderId="112" xfId="31" applyNumberFormat="1" applyFont="1" applyFill="1" applyBorder="1" applyAlignment="1" applyProtection="1">
      <alignment horizontal="right" vertical="center" wrapText="1"/>
    </xf>
    <xf numFmtId="4" fontId="29" fillId="0" borderId="40" xfId="31" applyNumberFormat="1" applyFont="1" applyFill="1" applyBorder="1" applyAlignment="1" applyProtection="1">
      <alignment horizontal="center" wrapText="1"/>
    </xf>
    <xf numFmtId="4" fontId="3" fillId="0" borderId="112" xfId="0" applyNumberFormat="1" applyFont="1" applyFill="1" applyBorder="1" applyAlignment="1">
      <alignment horizontal="right" vertical="center" wrapText="1"/>
    </xf>
    <xf numFmtId="4" fontId="4" fillId="0" borderId="112" xfId="0" applyNumberFormat="1" applyFont="1" applyFill="1" applyBorder="1" applyAlignment="1">
      <alignment horizontal="right" vertical="center" wrapText="1"/>
    </xf>
    <xf numFmtId="4" fontId="28" fillId="0" borderId="55" xfId="31" applyNumberFormat="1" applyFont="1" applyFill="1" applyBorder="1" applyAlignment="1" applyProtection="1">
      <alignment horizontal="right" vertical="center" wrapText="1"/>
    </xf>
    <xf numFmtId="4" fontId="3" fillId="0" borderId="113" xfId="31" applyNumberFormat="1" applyFont="1" applyFill="1" applyBorder="1" applyAlignment="1" applyProtection="1">
      <alignment horizontal="right" vertical="center" wrapText="1"/>
    </xf>
    <xf numFmtId="4" fontId="3" fillId="18" borderId="71" xfId="31" applyNumberFormat="1" applyFont="1" applyFill="1" applyBorder="1" applyAlignment="1" applyProtection="1">
      <alignment horizontal="right" vertical="center" wrapText="1"/>
    </xf>
    <xf numFmtId="4" fontId="28" fillId="0" borderId="112" xfId="31" applyNumberFormat="1" applyFont="1" applyFill="1" applyBorder="1" applyAlignment="1" applyProtection="1">
      <alignment horizontal="right" vertical="center" wrapText="1"/>
    </xf>
    <xf numFmtId="4" fontId="37" fillId="0" borderId="112" xfId="31" applyNumberFormat="1" applyFont="1" applyFill="1" applyBorder="1" applyAlignment="1" applyProtection="1">
      <alignment horizontal="right" vertical="center" wrapText="1"/>
    </xf>
    <xf numFmtId="4" fontId="28" fillId="19" borderId="112" xfId="31" applyNumberFormat="1" applyFont="1" applyFill="1" applyBorder="1" applyAlignment="1" applyProtection="1">
      <alignment horizontal="right" vertical="center" wrapText="1"/>
    </xf>
    <xf numFmtId="4" fontId="3" fillId="18" borderId="112" xfId="31" applyNumberFormat="1" applyFont="1" applyFill="1" applyBorder="1" applyAlignment="1" applyProtection="1">
      <alignment horizontal="right" vertical="center" wrapText="1"/>
    </xf>
    <xf numFmtId="4" fontId="3" fillId="18" borderId="112" xfId="31" applyNumberFormat="1" applyFont="1" applyFill="1" applyBorder="1" applyAlignment="1" applyProtection="1">
      <alignment vertical="center" wrapText="1"/>
    </xf>
    <xf numFmtId="165" fontId="4" fillId="0" borderId="112" xfId="52" applyFont="1" applyFill="1" applyBorder="1" applyAlignment="1" applyProtection="1">
      <alignment horizontal="right" vertical="center" wrapText="1"/>
    </xf>
    <xf numFmtId="4" fontId="28" fillId="19" borderId="55" xfId="31" applyNumberFormat="1" applyFont="1" applyFill="1" applyBorder="1" applyAlignment="1" applyProtection="1">
      <alignment horizontal="right" vertical="center" wrapText="1"/>
    </xf>
    <xf numFmtId="4" fontId="36" fillId="0" borderId="112" xfId="31" applyNumberFormat="1" applyFont="1" applyFill="1" applyBorder="1" applyAlignment="1" applyProtection="1">
      <alignment horizontal="right" vertical="center" wrapText="1"/>
    </xf>
    <xf numFmtId="4" fontId="3" fillId="18" borderId="112" xfId="0" applyNumberFormat="1" applyFont="1" applyFill="1" applyBorder="1" applyAlignment="1">
      <alignment vertical="center"/>
    </xf>
    <xf numFmtId="4" fontId="29" fillId="0" borderId="101" xfId="31" applyNumberFormat="1" applyFont="1" applyFill="1" applyBorder="1" applyAlignment="1" applyProtection="1">
      <alignment horizontal="right" vertical="center" wrapText="1"/>
    </xf>
    <xf numFmtId="4" fontId="28" fillId="19" borderId="42" xfId="31" applyNumberFormat="1" applyFont="1" applyFill="1" applyBorder="1" applyAlignment="1" applyProtection="1">
      <alignment horizontal="right" vertical="center" wrapText="1"/>
    </xf>
    <xf numFmtId="4" fontId="28" fillId="21" borderId="101" xfId="31" applyNumberFormat="1" applyFont="1" applyFill="1" applyBorder="1" applyAlignment="1" applyProtection="1">
      <alignment horizontal="right" vertical="center" wrapText="1"/>
    </xf>
    <xf numFmtId="4" fontId="29" fillId="0" borderId="42" xfId="31" applyNumberFormat="1" applyFont="1" applyFill="1" applyBorder="1" applyAlignment="1" applyProtection="1">
      <alignment horizontal="right" wrapText="1"/>
    </xf>
    <xf numFmtId="4" fontId="34" fillId="0" borderId="42" xfId="31" applyNumberFormat="1" applyFont="1" applyFill="1" applyBorder="1" applyAlignment="1" applyProtection="1">
      <alignment horizontal="right" wrapText="1"/>
    </xf>
    <xf numFmtId="4" fontId="29" fillId="0" borderId="44" xfId="31" applyNumberFormat="1" applyFont="1" applyFill="1" applyBorder="1" applyAlignment="1" applyProtection="1">
      <alignment horizontal="right" wrapText="1"/>
    </xf>
    <xf numFmtId="4" fontId="29" fillId="0" borderId="55" xfId="31" applyNumberFormat="1" applyFont="1" applyFill="1" applyBorder="1" applyAlignment="1" applyProtection="1">
      <alignment horizontal="right" vertical="center" wrapText="1"/>
    </xf>
    <xf numFmtId="4" fontId="28" fillId="21" borderId="55" xfId="31" applyNumberFormat="1" applyFont="1" applyFill="1" applyBorder="1" applyAlignment="1" applyProtection="1">
      <alignment horizontal="center" vertical="center" wrapText="1"/>
    </xf>
    <xf numFmtId="4" fontId="28" fillId="19" borderId="36" xfId="31" applyNumberFormat="1" applyFont="1" applyFill="1" applyBorder="1" applyAlignment="1" applyProtection="1">
      <alignment horizontal="right" vertical="center" wrapText="1"/>
    </xf>
    <xf numFmtId="4" fontId="29" fillId="0" borderId="55" xfId="31" applyNumberFormat="1" applyFont="1" applyFill="1" applyBorder="1" applyAlignment="1" applyProtection="1">
      <alignment horizontal="right" wrapText="1"/>
    </xf>
    <xf numFmtId="4" fontId="29" fillId="0" borderId="36" xfId="31" applyNumberFormat="1" applyFont="1" applyFill="1" applyBorder="1" applyAlignment="1" applyProtection="1">
      <alignment horizontal="center" vertical="center" wrapText="1"/>
    </xf>
    <xf numFmtId="4" fontId="28" fillId="21" borderId="35" xfId="31" applyNumberFormat="1" applyFont="1" applyFill="1" applyBorder="1" applyAlignment="1" applyProtection="1">
      <alignment horizontal="center" vertical="center" wrapText="1"/>
    </xf>
    <xf numFmtId="4" fontId="28" fillId="0" borderId="54" xfId="31" applyNumberFormat="1" applyFont="1" applyFill="1" applyBorder="1" applyAlignment="1" applyProtection="1">
      <alignment horizontal="center" vertical="center" wrapText="1"/>
    </xf>
    <xf numFmtId="4" fontId="28" fillId="21" borderId="111" xfId="31" applyNumberFormat="1" applyFont="1" applyFill="1" applyBorder="1" applyAlignment="1" applyProtection="1">
      <alignment horizontal="right" vertical="top" wrapText="1"/>
    </xf>
    <xf numFmtId="4" fontId="29" fillId="19" borderId="55" xfId="31" applyNumberFormat="1" applyFont="1" applyFill="1" applyBorder="1" applyAlignment="1" applyProtection="1">
      <alignment horizontal="right" vertical="center" wrapText="1"/>
    </xf>
    <xf numFmtId="4" fontId="29" fillId="19" borderId="44" xfId="31" applyNumberFormat="1" applyFont="1" applyFill="1" applyBorder="1" applyAlignment="1" applyProtection="1">
      <alignment horizontal="right" vertical="center" wrapText="1"/>
    </xf>
    <xf numFmtId="4" fontId="3" fillId="19" borderId="112" xfId="31" applyNumberFormat="1" applyFont="1" applyFill="1" applyBorder="1" applyAlignment="1" applyProtection="1">
      <alignment horizontal="right" vertical="center" wrapText="1"/>
    </xf>
    <xf numFmtId="4" fontId="29" fillId="0" borderId="112" xfId="31" applyNumberFormat="1" applyFont="1" applyFill="1" applyBorder="1" applyAlignment="1" applyProtection="1">
      <alignment horizontal="right" wrapText="1"/>
    </xf>
    <xf numFmtId="4" fontId="29" fillId="19" borderId="44" xfId="31" applyNumberFormat="1" applyFont="1" applyFill="1" applyBorder="1" applyAlignment="1" applyProtection="1">
      <alignment horizontal="right" wrapText="1"/>
    </xf>
    <xf numFmtId="4" fontId="28" fillId="0" borderId="44" xfId="31" applyNumberFormat="1" applyFont="1" applyFill="1" applyBorder="1" applyAlignment="1" applyProtection="1">
      <alignment horizontal="right" vertical="top" wrapText="1"/>
    </xf>
    <xf numFmtId="4" fontId="29" fillId="0" borderId="44" xfId="31" applyNumberFormat="1" applyFont="1" applyFill="1" applyBorder="1" applyAlignment="1" applyProtection="1">
      <alignment horizontal="right" vertical="center" wrapText="1"/>
    </xf>
    <xf numFmtId="4" fontId="4" fillId="18" borderId="112" xfId="31" applyNumberFormat="1" applyFont="1" applyFill="1" applyBorder="1" applyAlignment="1" applyProtection="1">
      <alignment horizontal="right" vertical="center" wrapText="1"/>
    </xf>
    <xf numFmtId="4" fontId="29" fillId="0" borderId="44" xfId="31" applyNumberFormat="1" applyFont="1" applyFill="1" applyBorder="1" applyAlignment="1" applyProtection="1">
      <alignment horizontal="center" vertical="center" wrapText="1"/>
    </xf>
    <xf numFmtId="4" fontId="28" fillId="0" borderId="44" xfId="31" applyNumberFormat="1" applyFont="1" applyFill="1" applyBorder="1" applyAlignment="1" applyProtection="1">
      <alignment horizontal="center" vertical="center" wrapText="1"/>
    </xf>
    <xf numFmtId="4" fontId="29" fillId="19" borderId="44" xfId="31" applyNumberFormat="1" applyFont="1" applyFill="1" applyBorder="1" applyAlignment="1" applyProtection="1">
      <alignment horizontal="center" vertical="center" wrapText="1"/>
    </xf>
    <xf numFmtId="4" fontId="36" fillId="19" borderId="112" xfId="31" applyNumberFormat="1" applyFont="1" applyFill="1" applyBorder="1" applyAlignment="1" applyProtection="1">
      <alignment horizontal="right" vertical="center" wrapText="1"/>
    </xf>
    <xf numFmtId="4" fontId="48" fillId="0" borderId="40" xfId="31" applyNumberFormat="1" applyFont="1" applyFill="1" applyBorder="1" applyAlignment="1" applyProtection="1">
      <alignment horizontal="center" vertical="center" wrapText="1"/>
    </xf>
    <xf numFmtId="4" fontId="50" fillId="21" borderId="40" xfId="31" applyNumberFormat="1" applyFont="1" applyFill="1" applyBorder="1" applyAlignment="1" applyProtection="1">
      <alignment horizontal="center" vertical="center" wrapText="1"/>
    </xf>
    <xf numFmtId="4" fontId="48" fillId="0" borderId="40" xfId="31" applyNumberFormat="1" applyFont="1" applyFill="1" applyBorder="1" applyAlignment="1" applyProtection="1">
      <alignment horizontal="right" vertical="center" wrapText="1"/>
    </xf>
    <xf numFmtId="4" fontId="50" fillId="21" borderId="40" xfId="31" applyNumberFormat="1" applyFont="1" applyFill="1" applyBorder="1" applyAlignment="1" applyProtection="1">
      <alignment horizontal="right" vertical="center" wrapText="1"/>
    </xf>
    <xf numFmtId="172" fontId="48" fillId="0" borderId="14" xfId="31" applyNumberFormat="1" applyFont="1" applyFill="1" applyBorder="1" applyAlignment="1" applyProtection="1">
      <alignment horizontal="right" vertical="center" wrapText="1"/>
    </xf>
    <xf numFmtId="172" fontId="48" fillId="0" borderId="31" xfId="31" applyNumberFormat="1" applyFont="1" applyFill="1" applyBorder="1" applyAlignment="1" applyProtection="1">
      <alignment horizontal="right" vertical="center" wrapText="1"/>
    </xf>
    <xf numFmtId="4" fontId="48" fillId="0" borderId="31" xfId="31" applyNumberFormat="1" applyFont="1" applyFill="1" applyBorder="1" applyAlignment="1" applyProtection="1">
      <alignment horizontal="right" vertical="center" wrapText="1"/>
    </xf>
    <xf numFmtId="4" fontId="48" fillId="0" borderId="33" xfId="31" applyNumberFormat="1" applyFont="1" applyFill="1" applyBorder="1" applyAlignment="1" applyProtection="1">
      <alignment horizontal="right" vertical="center" wrapText="1"/>
    </xf>
    <xf numFmtId="171" fontId="48" fillId="0" borderId="31" xfId="31" applyNumberFormat="1" applyFont="1" applyFill="1" applyBorder="1" applyAlignment="1" applyProtection="1">
      <alignment horizontal="right" vertical="center" wrapText="1"/>
    </xf>
    <xf numFmtId="4" fontId="50" fillId="21" borderId="36" xfId="31" applyNumberFormat="1" applyFont="1" applyFill="1" applyBorder="1" applyAlignment="1" applyProtection="1">
      <alignment horizontal="center" vertical="center" wrapText="1"/>
    </xf>
    <xf numFmtId="171" fontId="48" fillId="18" borderId="31" xfId="31" applyNumberFormat="1" applyFont="1" applyFill="1" applyBorder="1" applyAlignment="1" applyProtection="1">
      <alignment horizontal="right" vertical="center" wrapText="1"/>
    </xf>
    <xf numFmtId="4" fontId="48" fillId="0" borderId="38" xfId="31" applyNumberFormat="1" applyFont="1" applyFill="1" applyBorder="1" applyAlignment="1" applyProtection="1">
      <alignment horizontal="right" vertical="center" wrapText="1"/>
    </xf>
    <xf numFmtId="4" fontId="48" fillId="0" borderId="40" xfId="31" applyNumberFormat="1" applyFont="1" applyFill="1" applyBorder="1" applyAlignment="1" applyProtection="1">
      <alignment horizontal="right" wrapText="1"/>
    </xf>
    <xf numFmtId="174" fontId="48" fillId="0" borderId="0" xfId="0" applyNumberFormat="1" applyFont="1" applyFill="1" applyBorder="1" applyAlignment="1">
      <alignment vertical="center"/>
    </xf>
    <xf numFmtId="4" fontId="48" fillId="0" borderId="35" xfId="31" applyNumberFormat="1" applyFont="1" applyFill="1" applyBorder="1" applyAlignment="1" applyProtection="1">
      <alignment horizontal="right" vertical="center" wrapText="1"/>
    </xf>
    <xf numFmtId="4" fontId="50" fillId="0" borderId="36" xfId="31" applyNumberFormat="1" applyFont="1" applyFill="1" applyBorder="1" applyAlignment="1" applyProtection="1">
      <alignment horizontal="right" vertical="center" wrapText="1"/>
    </xf>
    <xf numFmtId="0" fontId="48" fillId="0" borderId="14" xfId="0" applyFont="1" applyFill="1" applyBorder="1" applyAlignment="1">
      <alignment horizontal="center" vertical="center" wrapText="1"/>
    </xf>
    <xf numFmtId="171" fontId="48" fillId="0" borderId="20" xfId="31" applyNumberFormat="1" applyFont="1" applyBorder="1" applyAlignment="1" applyProtection="1">
      <alignment horizontal="right" vertical="center" wrapText="1"/>
    </xf>
    <xf numFmtId="4" fontId="48" fillId="0" borderId="29" xfId="0" applyNumberFormat="1" applyFont="1" applyFill="1" applyBorder="1" applyAlignment="1">
      <alignment horizontal="right" vertical="center" wrapText="1"/>
    </xf>
    <xf numFmtId="0" fontId="48" fillId="0" borderId="57" xfId="31" applyNumberFormat="1" applyFont="1" applyFill="1" applyBorder="1" applyAlignment="1" applyProtection="1">
      <alignment horizontal="right" vertical="center" wrapText="1"/>
    </xf>
    <xf numFmtId="0" fontId="48" fillId="0" borderId="22" xfId="31" applyNumberFormat="1" applyFont="1" applyFill="1" applyBorder="1" applyAlignment="1" applyProtection="1">
      <alignment horizontal="left" vertical="center" wrapText="1"/>
    </xf>
    <xf numFmtId="0" fontId="48" fillId="0" borderId="22" xfId="0" applyFont="1" applyFill="1" applyBorder="1" applyAlignment="1">
      <alignment horizontal="center" vertical="center" wrapText="1"/>
    </xf>
    <xf numFmtId="171" fontId="48" fillId="18" borderId="51" xfId="31" applyNumberFormat="1" applyFont="1" applyFill="1" applyBorder="1" applyAlignment="1" applyProtection="1">
      <alignment horizontal="right" vertical="center" wrapText="1"/>
    </xf>
    <xf numFmtId="4" fontId="48" fillId="0" borderId="22" xfId="31" applyNumberFormat="1" applyFont="1" applyFill="1" applyBorder="1" applyAlignment="1" applyProtection="1">
      <alignment horizontal="right" vertical="center" wrapText="1"/>
    </xf>
    <xf numFmtId="4" fontId="48" fillId="0" borderId="58" xfId="0" applyNumberFormat="1" applyFont="1" applyFill="1" applyBorder="1" applyAlignment="1">
      <alignment horizontal="right" vertical="center" wrapText="1"/>
    </xf>
    <xf numFmtId="171" fontId="48" fillId="0" borderId="32" xfId="31" applyNumberFormat="1" applyFont="1" applyBorder="1" applyAlignment="1" applyProtection="1">
      <alignment horizontal="right" vertical="center" wrapText="1"/>
    </xf>
    <xf numFmtId="0" fontId="48" fillId="0" borderId="22" xfId="31" applyNumberFormat="1" applyFont="1" applyFill="1" applyBorder="1" applyAlignment="1" applyProtection="1">
      <alignment horizontal="center" vertical="center" wrapText="1"/>
    </xf>
    <xf numFmtId="171" fontId="48" fillId="0" borderId="51" xfId="31" applyNumberFormat="1" applyFont="1" applyBorder="1" applyAlignment="1" applyProtection="1">
      <alignment horizontal="right" vertical="center" wrapText="1"/>
    </xf>
    <xf numFmtId="4" fontId="48" fillId="0" borderId="23" xfId="31" applyNumberFormat="1" applyFont="1" applyFill="1" applyBorder="1" applyAlignment="1" applyProtection="1">
      <alignment horizontal="right" vertical="center" wrapText="1"/>
    </xf>
    <xf numFmtId="4" fontId="6" fillId="0" borderId="40" xfId="31" applyNumberFormat="1" applyFont="1" applyFill="1" applyBorder="1" applyAlignment="1" applyProtection="1">
      <alignment horizontal="center" vertical="center" wrapText="1"/>
    </xf>
    <xf numFmtId="4" fontId="5" fillId="21" borderId="40" xfId="31" applyNumberFormat="1" applyFont="1" applyFill="1" applyBorder="1" applyAlignment="1" applyProtection="1">
      <alignment horizontal="center" vertical="center" wrapText="1"/>
    </xf>
    <xf numFmtId="4" fontId="6" fillId="0" borderId="40" xfId="31" applyNumberFormat="1" applyFont="1" applyFill="1" applyBorder="1" applyAlignment="1" applyProtection="1">
      <alignment horizontal="right" vertical="center" wrapText="1"/>
    </xf>
    <xf numFmtId="4" fontId="5" fillId="21" borderId="36" xfId="31" applyNumberFormat="1" applyFont="1" applyFill="1" applyBorder="1" applyAlignment="1" applyProtection="1">
      <alignment horizontal="right" vertical="center" wrapText="1"/>
    </xf>
    <xf numFmtId="4" fontId="5" fillId="21" borderId="36" xfId="31" applyNumberFormat="1" applyFont="1" applyFill="1" applyBorder="1" applyAlignment="1" applyProtection="1">
      <alignment horizontal="center" vertical="center" wrapText="1"/>
    </xf>
    <xf numFmtId="174" fontId="48" fillId="0" borderId="14" xfId="0" applyNumberFormat="1" applyFont="1" applyFill="1" applyBorder="1" applyAlignment="1">
      <alignment vertical="center"/>
    </xf>
    <xf numFmtId="0" fontId="48" fillId="0" borderId="31" xfId="0" applyFont="1" applyFill="1" applyBorder="1" applyAlignment="1">
      <alignment vertical="center"/>
    </xf>
    <xf numFmtId="4" fontId="48" fillId="0" borderId="47" xfId="31" applyNumberFormat="1" applyFont="1" applyFill="1" applyBorder="1" applyAlignment="1" applyProtection="1">
      <alignment horizontal="right" vertical="center" wrapText="1"/>
    </xf>
    <xf numFmtId="0" fontId="51" fillId="0" borderId="14" xfId="0" applyFont="1" applyBorder="1" applyAlignment="1">
      <alignment horizontal="center"/>
    </xf>
    <xf numFmtId="171" fontId="48" fillId="0" borderId="14" xfId="0" applyNumberFormat="1" applyFont="1" applyBorder="1"/>
    <xf numFmtId="0" fontId="48" fillId="0" borderId="28" xfId="0" applyFont="1" applyFill="1" applyBorder="1" applyAlignment="1">
      <alignment horizontal="right" vertical="center" wrapText="1"/>
    </xf>
    <xf numFmtId="4" fontId="48" fillId="0" borderId="58" xfId="31" applyNumberFormat="1" applyFont="1" applyFill="1" applyBorder="1" applyAlignment="1" applyProtection="1">
      <alignment horizontal="right" vertical="center" wrapText="1"/>
    </xf>
    <xf numFmtId="171" fontId="48" fillId="0" borderId="14" xfId="31" applyNumberFormat="1" applyFont="1" applyBorder="1" applyAlignment="1" applyProtection="1">
      <alignment horizontal="right" vertical="center" wrapText="1"/>
    </xf>
    <xf numFmtId="4" fontId="48" fillId="0" borderId="41" xfId="31" applyNumberFormat="1" applyFont="1" applyFill="1" applyBorder="1" applyAlignment="1" applyProtection="1">
      <alignment horizontal="right" vertical="center" wrapText="1"/>
    </xf>
    <xf numFmtId="4" fontId="50" fillId="21" borderId="42" xfId="31" applyNumberFormat="1" applyFont="1" applyFill="1" applyBorder="1" applyAlignment="1" applyProtection="1">
      <alignment horizontal="right" vertical="center" wrapText="1"/>
    </xf>
    <xf numFmtId="4" fontId="48" fillId="19" borderId="35" xfId="31" applyNumberFormat="1" applyFont="1" applyFill="1" applyBorder="1" applyAlignment="1" applyProtection="1">
      <alignment horizontal="right" vertical="center" wrapText="1"/>
    </xf>
    <xf numFmtId="4" fontId="50" fillId="0" borderId="40" xfId="31" applyNumberFormat="1" applyFont="1" applyFill="1" applyBorder="1" applyAlignment="1" applyProtection="1">
      <alignment horizontal="right" vertical="center" wrapText="1"/>
    </xf>
    <xf numFmtId="0" fontId="48" fillId="0" borderId="77" xfId="31" applyNumberFormat="1" applyFont="1" applyFill="1" applyBorder="1" applyAlignment="1" applyProtection="1">
      <alignment horizontal="right" vertical="center" wrapText="1"/>
    </xf>
    <xf numFmtId="0" fontId="48" fillId="0" borderId="70" xfId="31" applyNumberFormat="1" applyFont="1" applyFill="1" applyBorder="1" applyAlignment="1" applyProtection="1">
      <alignment horizontal="left" vertical="center" wrapText="1"/>
    </xf>
    <xf numFmtId="0" fontId="48" fillId="0" borderId="70" xfId="31" applyNumberFormat="1" applyFont="1" applyFill="1" applyBorder="1" applyAlignment="1" applyProtection="1">
      <alignment horizontal="center" vertical="center" wrapText="1"/>
    </xf>
    <xf numFmtId="171" fontId="48" fillId="0" borderId="70" xfId="31" applyNumberFormat="1" applyFont="1" applyFill="1" applyBorder="1" applyAlignment="1" applyProtection="1">
      <alignment horizontal="right" vertical="center" wrapText="1"/>
    </xf>
    <xf numFmtId="4" fontId="48" fillId="0" borderId="70" xfId="31" applyNumberFormat="1" applyFont="1" applyFill="1" applyBorder="1" applyAlignment="1" applyProtection="1">
      <alignment horizontal="right" vertical="center" wrapText="1"/>
    </xf>
    <xf numFmtId="4" fontId="48" fillId="0" borderId="78" xfId="31" applyNumberFormat="1" applyFont="1" applyFill="1" applyBorder="1" applyAlignment="1" applyProtection="1">
      <alignment horizontal="right" vertical="center" wrapText="1"/>
    </xf>
    <xf numFmtId="4" fontId="48" fillId="0" borderId="35" xfId="31" applyNumberFormat="1" applyFont="1" applyFill="1" applyBorder="1" applyAlignment="1" applyProtection="1">
      <alignment horizontal="right" wrapText="1"/>
    </xf>
    <xf numFmtId="4" fontId="48" fillId="0" borderId="42" xfId="31" applyNumberFormat="1" applyFont="1" applyFill="1" applyBorder="1" applyAlignment="1" applyProtection="1">
      <alignment horizontal="center" wrapText="1"/>
    </xf>
    <xf numFmtId="4" fontId="50" fillId="21" borderId="42" xfId="31" applyNumberFormat="1" applyFont="1" applyFill="1" applyBorder="1" applyAlignment="1" applyProtection="1">
      <alignment horizontal="center" vertical="center" wrapText="1"/>
    </xf>
    <xf numFmtId="4" fontId="5" fillId="21" borderId="42" xfId="31" applyNumberFormat="1" applyFont="1" applyFill="1" applyBorder="1" applyAlignment="1" applyProtection="1">
      <alignment horizontal="center" vertical="top" wrapText="1"/>
    </xf>
    <xf numFmtId="4" fontId="6" fillId="0" borderId="42" xfId="31" applyNumberFormat="1" applyFont="1" applyFill="1" applyBorder="1" applyAlignment="1" applyProtection="1">
      <alignment horizontal="center" vertical="center" wrapText="1"/>
    </xf>
    <xf numFmtId="0" fontId="48" fillId="0" borderId="14" xfId="31" applyFont="1" applyFill="1" applyBorder="1" applyAlignment="1" applyProtection="1">
      <alignment horizontal="left" vertical="center" wrapText="1"/>
    </xf>
    <xf numFmtId="0" fontId="48" fillId="0" borderId="14" xfId="31" applyFont="1" applyFill="1" applyBorder="1" applyAlignment="1" applyProtection="1">
      <alignment horizontal="center" vertical="center" wrapText="1"/>
    </xf>
    <xf numFmtId="4" fontId="50" fillId="0" borderId="35" xfId="31" applyNumberFormat="1" applyFont="1" applyFill="1" applyBorder="1" applyAlignment="1" applyProtection="1">
      <alignment horizontal="right" vertical="center" wrapText="1"/>
    </xf>
    <xf numFmtId="4" fontId="50" fillId="0" borderId="35" xfId="31" applyNumberFormat="1" applyFont="1" applyFill="1" applyBorder="1" applyAlignment="1" applyProtection="1">
      <alignment horizontal="right" wrapText="1"/>
    </xf>
    <xf numFmtId="171" fontId="48" fillId="18" borderId="32" xfId="31" applyNumberFormat="1" applyFont="1" applyFill="1" applyBorder="1" applyAlignment="1" applyProtection="1">
      <alignment horizontal="right" vertical="top" wrapText="1"/>
    </xf>
    <xf numFmtId="4" fontId="48" fillId="18" borderId="31" xfId="31" applyNumberFormat="1" applyFont="1" applyFill="1" applyBorder="1" applyAlignment="1" applyProtection="1">
      <alignment horizontal="right" vertical="center" wrapText="1"/>
    </xf>
    <xf numFmtId="171" fontId="48" fillId="0" borderId="32" xfId="31" applyNumberFormat="1" applyFont="1" applyFill="1" applyBorder="1" applyAlignment="1" applyProtection="1">
      <alignment horizontal="right" vertical="top" wrapText="1"/>
    </xf>
    <xf numFmtId="171" fontId="48" fillId="0" borderId="51" xfId="31" applyNumberFormat="1" applyFont="1" applyFill="1" applyBorder="1" applyAlignment="1" applyProtection="1">
      <alignment horizontal="right" vertical="center" wrapText="1"/>
    </xf>
    <xf numFmtId="0" fontId="48" fillId="0" borderId="108" xfId="31" applyNumberFormat="1" applyFont="1" applyFill="1" applyBorder="1" applyAlignment="1" applyProtection="1">
      <alignment horizontal="right" vertical="center" wrapText="1"/>
    </xf>
    <xf numFmtId="171" fontId="48" fillId="0" borderId="22" xfId="31" applyNumberFormat="1" applyFont="1" applyFill="1" applyBorder="1" applyAlignment="1" applyProtection="1">
      <alignment horizontal="right" vertical="center" wrapText="1"/>
    </xf>
    <xf numFmtId="4" fontId="48" fillId="0" borderId="22" xfId="0" applyNumberFormat="1" applyFont="1" applyFill="1" applyBorder="1" applyAlignment="1">
      <alignment horizontal="right" vertical="center" wrapText="1"/>
    </xf>
    <xf numFmtId="171" fontId="48" fillId="18" borderId="14" xfId="31" applyNumberFormat="1" applyFont="1" applyFill="1" applyBorder="1" applyAlignment="1" applyProtection="1">
      <alignment horizontal="right" vertical="top" wrapText="1"/>
    </xf>
    <xf numFmtId="171" fontId="48" fillId="0" borderId="14" xfId="52" applyNumberFormat="1" applyFont="1" applyFill="1" applyBorder="1" applyAlignment="1" applyProtection="1">
      <alignment horizontal="right" vertical="center" wrapText="1"/>
    </xf>
    <xf numFmtId="165" fontId="48" fillId="0" borderId="29" xfId="52" applyFont="1" applyFill="1" applyBorder="1" applyAlignment="1" applyProtection="1">
      <alignment horizontal="right" vertical="center" wrapText="1"/>
    </xf>
    <xf numFmtId="171" fontId="48" fillId="0" borderId="14" xfId="31" applyNumberFormat="1" applyFont="1" applyFill="1" applyBorder="1" applyAlignment="1" applyProtection="1">
      <alignment horizontal="right" vertical="top" wrapText="1"/>
    </xf>
    <xf numFmtId="171" fontId="48" fillId="0" borderId="14" xfId="0" applyNumberFormat="1" applyFont="1" applyBorder="1" applyAlignment="1">
      <alignment horizontal="right" vertical="center" wrapText="1"/>
    </xf>
    <xf numFmtId="171" fontId="48" fillId="0" borderId="20" xfId="0" applyNumberFormat="1" applyFont="1" applyBorder="1" applyAlignment="1">
      <alignment horizontal="right" vertical="center" wrapText="1"/>
    </xf>
    <xf numFmtId="4" fontId="29" fillId="0" borderId="0" xfId="31" applyNumberFormat="1" applyFont="1" applyFill="1" applyBorder="1" applyAlignment="1" applyProtection="1">
      <alignment horizontal="right" vertical="center" wrapText="1"/>
    </xf>
    <xf numFmtId="4" fontId="28" fillId="21" borderId="0" xfId="31" applyNumberFormat="1" applyFont="1" applyFill="1" applyBorder="1" applyAlignment="1" applyProtection="1">
      <alignment horizontal="right" vertical="center" wrapText="1"/>
    </xf>
    <xf numFmtId="4" fontId="33" fillId="0" borderId="41" xfId="31" applyNumberFormat="1" applyFont="1" applyFill="1" applyBorder="1" applyAlignment="1" applyProtection="1">
      <alignment horizontal="right" vertical="center" wrapText="1"/>
    </xf>
    <xf numFmtId="4" fontId="34" fillId="21" borderId="42" xfId="31" applyNumberFormat="1" applyFont="1" applyFill="1" applyBorder="1" applyAlignment="1" applyProtection="1">
      <alignment horizontal="right" vertical="center" wrapText="1"/>
    </xf>
    <xf numFmtId="4" fontId="33" fillId="0" borderId="42" xfId="31" applyNumberFormat="1" applyFont="1" applyFill="1" applyBorder="1" applyAlignment="1" applyProtection="1">
      <alignment horizontal="right" vertical="center" wrapText="1"/>
    </xf>
    <xf numFmtId="4" fontId="34" fillId="21" borderId="43" xfId="31" applyNumberFormat="1" applyFont="1" applyFill="1" applyBorder="1" applyAlignment="1" applyProtection="1">
      <alignment horizontal="right" vertical="center" wrapText="1"/>
    </xf>
    <xf numFmtId="171" fontId="48" fillId="0" borderId="32" xfId="31" applyNumberFormat="1" applyFont="1" applyFill="1" applyBorder="1" applyAlignment="1" applyProtection="1">
      <alignment horizontal="right" vertical="center" wrapText="1"/>
    </xf>
    <xf numFmtId="4" fontId="6" fillId="19" borderId="40" xfId="31" applyNumberFormat="1" applyFont="1" applyFill="1" applyBorder="1" applyAlignment="1" applyProtection="1">
      <alignment horizontal="center" vertical="center" wrapText="1"/>
    </xf>
    <xf numFmtId="4" fontId="5" fillId="0" borderId="36" xfId="31" applyNumberFormat="1" applyFont="1" applyFill="1" applyBorder="1" applyAlignment="1" applyProtection="1">
      <alignment horizontal="center" vertical="center" wrapText="1"/>
    </xf>
    <xf numFmtId="4" fontId="6" fillId="0" borderId="42" xfId="31" applyNumberFormat="1" applyFont="1" applyFill="1" applyBorder="1" applyAlignment="1" applyProtection="1">
      <alignment horizontal="right" vertical="center" wrapText="1"/>
    </xf>
    <xf numFmtId="4" fontId="5" fillId="21" borderId="43" xfId="31" applyNumberFormat="1" applyFont="1" applyFill="1" applyBorder="1" applyAlignment="1" applyProtection="1">
      <alignment horizontal="right" vertical="top" wrapText="1"/>
    </xf>
    <xf numFmtId="4" fontId="5" fillId="0" borderId="36" xfId="31" applyNumberFormat="1" applyFont="1" applyFill="1" applyBorder="1" applyAlignment="1" applyProtection="1">
      <alignment horizontal="right" vertical="top" wrapText="1"/>
    </xf>
    <xf numFmtId="4" fontId="6" fillId="21" borderId="41" xfId="31" applyNumberFormat="1" applyFont="1" applyFill="1" applyBorder="1" applyAlignment="1" applyProtection="1">
      <alignment horizontal="right" wrapText="1"/>
    </xf>
    <xf numFmtId="4" fontId="5" fillId="21" borderId="36" xfId="31" applyNumberFormat="1" applyFont="1" applyFill="1" applyBorder="1" applyAlignment="1" applyProtection="1">
      <alignment horizontal="right" vertical="top" wrapText="1"/>
    </xf>
    <xf numFmtId="4" fontId="5" fillId="19" borderId="40" xfId="31" applyNumberFormat="1" applyFont="1" applyFill="1" applyBorder="1" applyAlignment="1" applyProtection="1">
      <alignment horizontal="right" vertical="center" wrapText="1"/>
    </xf>
    <xf numFmtId="4" fontId="6" fillId="21" borderId="36" xfId="31" applyNumberFormat="1" applyFont="1" applyFill="1" applyBorder="1" applyAlignment="1" applyProtection="1">
      <alignment horizontal="right" vertical="center" wrapText="1"/>
    </xf>
    <xf numFmtId="4" fontId="6" fillId="19" borderId="54" xfId="31" applyNumberFormat="1" applyFont="1" applyFill="1" applyBorder="1" applyAlignment="1" applyProtection="1">
      <alignment horizontal="right" vertical="center" wrapText="1"/>
    </xf>
    <xf numFmtId="4" fontId="5" fillId="19" borderId="36" xfId="31" applyNumberFormat="1" applyFont="1" applyFill="1" applyBorder="1" applyAlignment="1" applyProtection="1">
      <alignment horizontal="right" vertical="center" wrapText="1"/>
    </xf>
    <xf numFmtId="4" fontId="6" fillId="19" borderId="40" xfId="31" applyNumberFormat="1" applyFont="1" applyFill="1" applyBorder="1" applyAlignment="1" applyProtection="1">
      <alignment horizontal="right" vertical="center" wrapText="1"/>
    </xf>
    <xf numFmtId="165" fontId="6" fillId="21" borderId="55" xfId="52" applyFont="1" applyFill="1" applyBorder="1" applyAlignment="1">
      <alignment horizontal="right" wrapText="1"/>
    </xf>
    <xf numFmtId="4" fontId="5" fillId="21" borderId="43" xfId="31" applyNumberFormat="1" applyFont="1" applyFill="1" applyBorder="1" applyAlignment="1" applyProtection="1">
      <alignment horizontal="right" vertical="center" wrapText="1"/>
    </xf>
    <xf numFmtId="4" fontId="5" fillId="0" borderId="40" xfId="31" applyNumberFormat="1" applyFont="1" applyFill="1" applyBorder="1" applyAlignment="1" applyProtection="1">
      <alignment horizontal="right" vertical="center" wrapText="1"/>
    </xf>
    <xf numFmtId="4" fontId="5" fillId="0" borderId="36" xfId="31" applyNumberFormat="1" applyFont="1" applyFill="1" applyBorder="1" applyAlignment="1" applyProtection="1">
      <alignment horizontal="right" vertical="center" wrapText="1"/>
    </xf>
    <xf numFmtId="4" fontId="5" fillId="21" borderId="42" xfId="31" applyNumberFormat="1" applyFont="1" applyFill="1" applyBorder="1" applyAlignment="1" applyProtection="1">
      <alignment horizontal="right" vertical="center" wrapText="1"/>
    </xf>
    <xf numFmtId="4" fontId="5" fillId="0" borderId="42" xfId="31" applyNumberFormat="1" applyFont="1" applyFill="1" applyBorder="1" applyAlignment="1" applyProtection="1">
      <alignment horizontal="right" vertical="center" wrapText="1"/>
    </xf>
    <xf numFmtId="0" fontId="46" fillId="17" borderId="59" xfId="31" applyNumberFormat="1" applyFont="1" applyFill="1" applyBorder="1" applyAlignment="1" applyProtection="1">
      <alignment horizontal="left" vertical="center" wrapText="1"/>
    </xf>
    <xf numFmtId="0" fontId="46" fillId="17" borderId="60" xfId="31" applyNumberFormat="1" applyFont="1" applyFill="1" applyBorder="1" applyAlignment="1" applyProtection="1">
      <alignment horizontal="left" vertical="center" wrapText="1"/>
    </xf>
    <xf numFmtId="0" fontId="46" fillId="17" borderId="61" xfId="31" applyNumberFormat="1" applyFont="1" applyFill="1" applyBorder="1" applyAlignment="1" applyProtection="1">
      <alignment horizontal="left" vertical="center" wrapText="1"/>
    </xf>
    <xf numFmtId="0" fontId="47" fillId="17" borderId="59" xfId="31" applyNumberFormat="1" applyFont="1" applyFill="1" applyBorder="1" applyAlignment="1" applyProtection="1">
      <alignment horizontal="left" vertical="center" wrapText="1"/>
    </xf>
    <xf numFmtId="0" fontId="47" fillId="17" borderId="60" xfId="31" applyNumberFormat="1" applyFont="1" applyFill="1" applyBorder="1" applyAlignment="1" applyProtection="1">
      <alignment horizontal="left" vertical="center" wrapText="1"/>
    </xf>
    <xf numFmtId="0" fontId="47" fillId="17" borderId="61" xfId="31" applyNumberFormat="1" applyFont="1" applyFill="1" applyBorder="1" applyAlignment="1" applyProtection="1">
      <alignment horizontal="left" vertical="center" wrapText="1"/>
    </xf>
    <xf numFmtId="0" fontId="49" fillId="0" borderId="0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47" fillId="17" borderId="89" xfId="31" applyNumberFormat="1" applyFont="1" applyFill="1" applyBorder="1" applyAlignment="1" applyProtection="1">
      <alignment horizontal="center" vertical="center" wrapText="1"/>
    </xf>
    <xf numFmtId="0" fontId="47" fillId="17" borderId="105" xfId="31" applyNumberFormat="1" applyFont="1" applyFill="1" applyBorder="1" applyAlignment="1" applyProtection="1">
      <alignment horizontal="center" vertical="center" wrapText="1"/>
    </xf>
    <xf numFmtId="0" fontId="46" fillId="17" borderId="89" xfId="31" applyNumberFormat="1" applyFont="1" applyFill="1" applyBorder="1" applyAlignment="1" applyProtection="1">
      <alignment horizontal="center" vertical="center" wrapText="1"/>
    </xf>
    <xf numFmtId="0" fontId="46" fillId="17" borderId="105" xfId="31" applyNumberFormat="1" applyFont="1" applyFill="1" applyBorder="1" applyAlignment="1" applyProtection="1">
      <alignment horizontal="center" vertical="center" wrapText="1"/>
    </xf>
    <xf numFmtId="0" fontId="4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5" fillId="17" borderId="89" xfId="31" applyNumberFormat="1" applyFont="1" applyFill="1" applyBorder="1" applyAlignment="1" applyProtection="1">
      <alignment horizontal="center" vertical="center" wrapText="1"/>
    </xf>
    <xf numFmtId="0" fontId="45" fillId="17" borderId="104" xfId="31" applyNumberFormat="1" applyFont="1" applyFill="1" applyBorder="1" applyAlignment="1" applyProtection="1">
      <alignment horizontal="center" vertical="center" wrapText="1"/>
    </xf>
    <xf numFmtId="0" fontId="45" fillId="17" borderId="105" xfId="31" applyNumberFormat="1" applyFont="1" applyFill="1" applyBorder="1" applyAlignment="1" applyProtection="1">
      <alignment horizontal="center" vertical="center" wrapText="1"/>
    </xf>
    <xf numFmtId="0" fontId="46" fillId="17" borderId="89" xfId="31" applyNumberFormat="1" applyFont="1" applyFill="1" applyBorder="1" applyAlignment="1" applyProtection="1">
      <alignment horizontal="left" vertical="center" wrapText="1"/>
    </xf>
    <xf numFmtId="0" fontId="46" fillId="17" borderId="105" xfId="31" applyNumberFormat="1" applyFont="1" applyFill="1" applyBorder="1" applyAlignment="1" applyProtection="1">
      <alignment horizontal="left" vertical="center" wrapText="1"/>
    </xf>
    <xf numFmtId="0" fontId="3" fillId="25" borderId="67" xfId="31" applyNumberFormat="1" applyFont="1" applyFill="1" applyBorder="1" applyAlignment="1" applyProtection="1">
      <alignment horizontal="left" vertical="center" wrapText="1"/>
    </xf>
    <xf numFmtId="0" fontId="3" fillId="25" borderId="21" xfId="0" applyNumberFormat="1" applyFont="1" applyFill="1" applyBorder="1" applyAlignment="1">
      <alignment horizontal="left" vertical="center"/>
    </xf>
  </cellXfs>
  <cellStyles count="53">
    <cellStyle name="20% - Ênfase1 2" xfId="1"/>
    <cellStyle name="20% - Ênfase2 2" xfId="2"/>
    <cellStyle name="20% - Ênfase3 2" xfId="3"/>
    <cellStyle name="20% - Ênfase4 2" xfId="4"/>
    <cellStyle name="20% - Ênfase5 2" xfId="5"/>
    <cellStyle name="20% - Ênfase6 2" xfId="6"/>
    <cellStyle name="40% - Ênfase1 2" xfId="7"/>
    <cellStyle name="40% - Ênfase2 2" xfId="8"/>
    <cellStyle name="40% - Ênfase3 2" xfId="9"/>
    <cellStyle name="40% - Ênfase4 2" xfId="10"/>
    <cellStyle name="40% - Ênfase5 2" xfId="11"/>
    <cellStyle name="40% - Ênfase6 2" xfId="12"/>
    <cellStyle name="60% - Ênfase1 2" xfId="13"/>
    <cellStyle name="60% - Ênfase2 2" xfId="14"/>
    <cellStyle name="60% - Ênfase3 2" xfId="15"/>
    <cellStyle name="60% - Ênfase4 2" xfId="16"/>
    <cellStyle name="60% - Ênfase5 2" xfId="17"/>
    <cellStyle name="60% - Ênfase6 2" xfId="18"/>
    <cellStyle name="Bom 2" xfId="19"/>
    <cellStyle name="Cálculo 2" xfId="20"/>
    <cellStyle name="Célula de Verificação 2" xfId="21"/>
    <cellStyle name="Célula Vinculada 2" xfId="22"/>
    <cellStyle name="Ênfase1 2" xfId="23"/>
    <cellStyle name="Ênfase2 2" xfId="24"/>
    <cellStyle name="Ênfase3 2" xfId="25"/>
    <cellStyle name="Ênfase4 2" xfId="26"/>
    <cellStyle name="Ênfase5 2" xfId="27"/>
    <cellStyle name="Ênfase6 2" xfId="28"/>
    <cellStyle name="Entrada 2" xfId="29"/>
    <cellStyle name="Estilo 1" xfId="30"/>
    <cellStyle name="Excel Built-in Normal" xfId="31"/>
    <cellStyle name="Excel Built-in Normal 2" xfId="32"/>
    <cellStyle name="Incorreto 2" xfId="33"/>
    <cellStyle name="Neutra 2" xfId="34"/>
    <cellStyle name="Normal" xfId="0" builtinId="0"/>
    <cellStyle name="Normal 2" xfId="35"/>
    <cellStyle name="Normal 3" xfId="36"/>
    <cellStyle name="Normal 4" xfId="37"/>
    <cellStyle name="Nota 2" xfId="38"/>
    <cellStyle name="Nota 3" xfId="39"/>
    <cellStyle name="Porcentagem 2" xfId="40"/>
    <cellStyle name="Saída 2" xfId="41"/>
    <cellStyle name="Separador de milhares 2" xfId="42"/>
    <cellStyle name="Texto de Aviso 2" xfId="43"/>
    <cellStyle name="Texto Explicativo 2" xfId="44"/>
    <cellStyle name="Título 1 1" xfId="45"/>
    <cellStyle name="Título 1 2" xfId="46"/>
    <cellStyle name="Título 2 2" xfId="47"/>
    <cellStyle name="Título 3 2" xfId="48"/>
    <cellStyle name="Título 4 2" xfId="49"/>
    <cellStyle name="Título 5" xfId="50"/>
    <cellStyle name="Total 2" xfId="51"/>
    <cellStyle name="Vírgula" xfId="52" builtinId="3"/>
  </cellStyles>
  <dxfs count="0"/>
  <tableStyles count="0" defaultTableStyle="TableStyleMedium9" defaultPivotStyle="PivotStyleLight16"/>
  <colors>
    <mruColors>
      <color rgb="FF043A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" name="CaixaDeTexto 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3" name="CaixaDeTexto 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9" name="CaixaDeTexto 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0" name="CaixaDeTexto 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1" name="CaixaDeTexto 1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2" name="CaixaDeTexto 1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3" name="CaixaDeTexto 1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4" name="CaixaDeTexto 1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5" name="CaixaDeTexto 1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6" name="CaixaDeTexto 1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7" name="CaixaDeTexto 1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8" name="CaixaDeTexto 1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9" name="CaixaDeTexto 1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0" name="CaixaDeTexto 1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1" name="CaixaDeTexto 2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2" name="CaixaDeTexto 2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3" name="CaixaDeTexto 2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4" name="CaixaDeTexto 2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5" name="CaixaDeTexto 2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6" name="CaixaDeTexto 2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7" name="CaixaDeTexto 2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8" name="CaixaDeTexto 2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9" name="CaixaDeTexto 2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30" name="CaixaDeTexto 2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31" name="CaixaDeTexto 3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32" name="CaixaDeTexto 3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33" name="CaixaDeTexto 3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34" name="CaixaDeTexto 3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35" name="CaixaDeTexto 3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36" name="CaixaDeTexto 3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37" name="CaixaDeTexto 3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38" name="CaixaDeTexto 3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39" name="CaixaDeTexto 3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40" name="CaixaDeTexto 3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41" name="CaixaDeTexto 4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42" name="CaixaDeTexto 4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43" name="CaixaDeTexto 4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44" name="CaixaDeTexto 4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45" name="CaixaDeTexto 4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46" name="CaixaDeTexto 4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47" name="CaixaDeTexto 4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48" name="CaixaDeTexto 4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49" name="CaixaDeTexto 4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50" name="CaixaDeTexto 4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51" name="CaixaDeTexto 5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52" name="CaixaDeTexto 5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53" name="CaixaDeTexto 5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54" name="CaixaDeTexto 5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55" name="CaixaDeTexto 5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56" name="CaixaDeTexto 5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57" name="CaixaDeTexto 5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58" name="CaixaDeTexto 5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59" name="CaixaDeTexto 5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60" name="CaixaDeTexto 5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61" name="CaixaDeTexto 6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62" name="CaixaDeTexto 6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63" name="CaixaDeTexto 6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64" name="CaixaDeTexto 6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65" name="CaixaDeTexto 6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66" name="CaixaDeTexto 6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67" name="CaixaDeTexto 6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68" name="CaixaDeTexto 6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69" name="CaixaDeTexto 6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70" name="CaixaDeTexto 6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71" name="CaixaDeTexto 7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72" name="CaixaDeTexto 7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73" name="CaixaDeTexto 7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74" name="CaixaDeTexto 7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75" name="CaixaDeTexto 7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76" name="CaixaDeTexto 7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77" name="CaixaDeTexto 7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78" name="CaixaDeTexto 7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79" name="CaixaDeTexto 7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80" name="CaixaDeTexto 7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81" name="CaixaDeTexto 8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82" name="CaixaDeTexto 8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83" name="CaixaDeTexto 8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84" name="CaixaDeTexto 8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85" name="CaixaDeTexto 8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86" name="CaixaDeTexto 8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87" name="CaixaDeTexto 8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88" name="CaixaDeTexto 8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89" name="CaixaDeTexto 8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90" name="CaixaDeTexto 8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91" name="CaixaDeTexto 9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92" name="CaixaDeTexto 9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93" name="CaixaDeTexto 9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94" name="CaixaDeTexto 9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95" name="CaixaDeTexto 9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96" name="CaixaDeTexto 9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97" name="CaixaDeTexto 9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98" name="CaixaDeTexto 9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99" name="CaixaDeTexto 9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00" name="CaixaDeTexto 9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01" name="CaixaDeTexto 10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02" name="CaixaDeTexto 10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03" name="CaixaDeTexto 10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04" name="CaixaDeTexto 10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05" name="CaixaDeTexto 10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06" name="CaixaDeTexto 10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07" name="CaixaDeTexto 10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08" name="CaixaDeTexto 10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09" name="CaixaDeTexto 10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10" name="CaixaDeTexto 10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11" name="CaixaDeTexto 11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12" name="CaixaDeTexto 11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13" name="CaixaDeTexto 11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14" name="CaixaDeTexto 11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15" name="CaixaDeTexto 11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16" name="CaixaDeTexto 11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17" name="CaixaDeTexto 11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18" name="CaixaDeTexto 11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19" name="CaixaDeTexto 11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20" name="CaixaDeTexto 11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21" name="CaixaDeTexto 12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22" name="CaixaDeTexto 12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23" name="CaixaDeTexto 12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24" name="CaixaDeTexto 12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25" name="CaixaDeTexto 12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26" name="CaixaDeTexto 12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27" name="CaixaDeTexto 12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28" name="CaixaDeTexto 12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29" name="CaixaDeTexto 12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30" name="CaixaDeTexto 12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31" name="CaixaDeTexto 13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32" name="CaixaDeTexto 13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33" name="CaixaDeTexto 13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34" name="CaixaDeTexto 13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35" name="CaixaDeTexto 13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36" name="CaixaDeTexto 13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37" name="CaixaDeTexto 13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38" name="CaixaDeTexto 13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39" name="CaixaDeTexto 13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40" name="CaixaDeTexto 13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41" name="CaixaDeTexto 14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42" name="CaixaDeTexto 14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43" name="CaixaDeTexto 14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44" name="CaixaDeTexto 14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45" name="CaixaDeTexto 14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46" name="CaixaDeTexto 14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47" name="CaixaDeTexto 14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48" name="CaixaDeTexto 14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49" name="CaixaDeTexto 14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50" name="CaixaDeTexto 14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51" name="CaixaDeTexto 15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52" name="CaixaDeTexto 15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53" name="CaixaDeTexto 15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54" name="CaixaDeTexto 15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55" name="CaixaDeTexto 15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56" name="CaixaDeTexto 15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57" name="CaixaDeTexto 15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58" name="CaixaDeTexto 15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59" name="CaixaDeTexto 15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60" name="CaixaDeTexto 15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61" name="CaixaDeTexto 16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62" name="CaixaDeTexto 16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63" name="CaixaDeTexto 16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64" name="CaixaDeTexto 16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65" name="CaixaDeTexto 16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66" name="CaixaDeTexto 16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67" name="CaixaDeTexto 16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68" name="CaixaDeTexto 16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69" name="CaixaDeTexto 16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70" name="CaixaDeTexto 16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71" name="CaixaDeTexto 17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72" name="CaixaDeTexto 17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73" name="CaixaDeTexto 17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74" name="CaixaDeTexto 17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75" name="CaixaDeTexto 17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76" name="CaixaDeTexto 17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77" name="CaixaDeTexto 17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78" name="CaixaDeTexto 17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79" name="CaixaDeTexto 17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80" name="CaixaDeTexto 17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81" name="CaixaDeTexto 18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82" name="CaixaDeTexto 18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83" name="CaixaDeTexto 18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84" name="CaixaDeTexto 18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85" name="CaixaDeTexto 18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86" name="CaixaDeTexto 18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87" name="CaixaDeTexto 18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88" name="CaixaDeTexto 18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89" name="CaixaDeTexto 18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90" name="CaixaDeTexto 18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91" name="CaixaDeTexto 19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92" name="CaixaDeTexto 19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93" name="CaixaDeTexto 19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94" name="CaixaDeTexto 19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95" name="CaixaDeTexto 19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96" name="CaixaDeTexto 19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97" name="CaixaDeTexto 19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98" name="CaixaDeTexto 19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99" name="CaixaDeTexto 19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00" name="CaixaDeTexto 19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01" name="CaixaDeTexto 20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02" name="CaixaDeTexto 20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03" name="CaixaDeTexto 20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04" name="CaixaDeTexto 20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05" name="CaixaDeTexto 20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06" name="CaixaDeTexto 20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07" name="CaixaDeTexto 20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08" name="CaixaDeTexto 20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09" name="CaixaDeTexto 20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10" name="CaixaDeTexto 20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11" name="CaixaDeTexto 21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12" name="CaixaDeTexto 21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13" name="CaixaDeTexto 21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14" name="CaixaDeTexto 21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15" name="CaixaDeTexto 21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16" name="CaixaDeTexto 21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17" name="CaixaDeTexto 21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18" name="CaixaDeTexto 21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19" name="CaixaDeTexto 21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20" name="CaixaDeTexto 21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21" name="CaixaDeTexto 22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22" name="CaixaDeTexto 22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23" name="CaixaDeTexto 22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24" name="CaixaDeTexto 22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25" name="CaixaDeTexto 22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26" name="CaixaDeTexto 22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27" name="CaixaDeTexto 22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28" name="CaixaDeTexto 22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29" name="CaixaDeTexto 22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30" name="CaixaDeTexto 22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31" name="CaixaDeTexto 23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32" name="CaixaDeTexto 23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33" name="CaixaDeTexto 23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34" name="CaixaDeTexto 23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35" name="CaixaDeTexto 23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36" name="CaixaDeTexto 23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37" name="CaixaDeTexto 21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38" name="CaixaDeTexto 21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39" name="CaixaDeTexto 215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40" name="CaixaDeTexto 21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41" name="CaixaDeTexto 21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42" name="CaixaDeTexto 22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43" name="CaixaDeTexto 22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44" name="CaixaDeTexto 224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45" name="CaixaDeTexto 23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46" name="CaixaDeTexto 6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47" name="CaixaDeTexto 246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48" name="CaixaDeTexto 247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49" name="CaixaDeTexto 248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50" name="CaixaDeTexto 249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51" name="CaixaDeTexto 250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52" name="CaixaDeTexto 251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53" name="CaixaDeTexto 252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54" name="CaixaDeTexto 253"/>
        <xdr:cNvSpPr txBox="1"/>
      </xdr:nvSpPr>
      <xdr:spPr>
        <a:xfrm>
          <a:off x="4460875" y="881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/>
        </a:p>
      </xdr:txBody>
    </xdr:sp>
    <xdr:clientData/>
  </xdr:oneCellAnchor>
  <xdr:twoCellAnchor>
    <xdr:from>
      <xdr:col>1</xdr:col>
      <xdr:colOff>24848</xdr:colOff>
      <xdr:row>0</xdr:row>
      <xdr:rowOff>8282</xdr:rowOff>
    </xdr:from>
    <xdr:to>
      <xdr:col>2</xdr:col>
      <xdr:colOff>1295307</xdr:colOff>
      <xdr:row>1</xdr:row>
      <xdr:rowOff>610117</xdr:rowOff>
    </xdr:to>
    <xdr:pic>
      <xdr:nvPicPr>
        <xdr:cNvPr id="255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48" y="8282"/>
          <a:ext cx="1949633" cy="74263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2</xdr:col>
      <xdr:colOff>786847</xdr:colOff>
      <xdr:row>1955</xdr:row>
      <xdr:rowOff>124238</xdr:rowOff>
    </xdr:from>
    <xdr:to>
      <xdr:col>2</xdr:col>
      <xdr:colOff>2065028</xdr:colOff>
      <xdr:row>1958</xdr:row>
      <xdr:rowOff>127033</xdr:rowOff>
    </xdr:to>
    <xdr:pic>
      <xdr:nvPicPr>
        <xdr:cNvPr id="256" name="Imagem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61760" y="404704825"/>
          <a:ext cx="1278181" cy="4749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57"/>
  <sheetViews>
    <sheetView tabSelected="1" view="pageBreakPreview" zoomScale="110" zoomScaleNormal="110" zoomScaleSheetLayoutView="110" workbookViewId="0">
      <selection activeCell="C17" sqref="C17"/>
    </sheetView>
  </sheetViews>
  <sheetFormatPr defaultColWidth="7.42578125" defaultRowHeight="11.25" x14ac:dyDescent="0.25"/>
  <cols>
    <col min="1" max="1" width="7.42578125" style="3"/>
    <col min="2" max="2" width="13.140625" style="3" customWidth="1"/>
    <col min="3" max="3" width="48.42578125" style="3" customWidth="1"/>
    <col min="4" max="4" width="7.42578125" style="3" bestFit="1" customWidth="1"/>
    <col min="5" max="5" width="11.5703125" style="7" customWidth="1"/>
    <col min="6" max="6" width="10.7109375" style="3" customWidth="1"/>
    <col min="7" max="7" width="9.140625" style="3" customWidth="1"/>
    <col min="8" max="8" width="8.85546875" style="3" customWidth="1"/>
    <col min="9" max="9" width="8.5703125" style="11" hidden="1" customWidth="1"/>
    <col min="10" max="10" width="7.28515625" style="3" customWidth="1"/>
    <col min="11" max="11" width="9.85546875" style="3" customWidth="1"/>
    <col min="12" max="12" width="9" style="3" customWidth="1"/>
    <col min="13" max="13" width="6.7109375" style="3" customWidth="1"/>
    <col min="14" max="14" width="9" style="3" customWidth="1"/>
    <col min="15" max="16384" width="7.42578125" style="3"/>
  </cols>
  <sheetData>
    <row r="1" spans="1:13" x14ac:dyDescent="0.25">
      <c r="B1" s="835"/>
      <c r="C1" s="835"/>
      <c r="D1" s="835"/>
      <c r="E1" s="835"/>
      <c r="F1" s="835"/>
      <c r="G1" s="835"/>
      <c r="H1" s="23"/>
      <c r="I1" s="149"/>
      <c r="J1" s="2"/>
      <c r="K1" s="2"/>
      <c r="L1" s="2"/>
    </row>
    <row r="2" spans="1:13" ht="48.75" customHeight="1" x14ac:dyDescent="0.25"/>
    <row r="3" spans="1:13" ht="15.75" x14ac:dyDescent="0.25">
      <c r="B3" s="834" t="s">
        <v>345</v>
      </c>
      <c r="C3" s="834"/>
      <c r="D3" s="834"/>
      <c r="E3" s="834"/>
      <c r="F3" s="834"/>
      <c r="G3" s="834"/>
      <c r="H3" s="23"/>
      <c r="I3" s="149"/>
      <c r="J3" s="2"/>
      <c r="K3" s="2"/>
      <c r="L3" s="2"/>
    </row>
    <row r="4" spans="1:13" ht="5.0999999999999996" customHeight="1" x14ac:dyDescent="0.25">
      <c r="B4" s="4"/>
      <c r="C4" s="4"/>
      <c r="D4" s="4"/>
      <c r="E4" s="8"/>
      <c r="F4" s="4"/>
    </row>
    <row r="5" spans="1:13" ht="15" customHeight="1" x14ac:dyDescent="0.25">
      <c r="A5" s="572" t="s">
        <v>263</v>
      </c>
      <c r="B5" s="841" t="s">
        <v>1052</v>
      </c>
      <c r="C5" s="841"/>
      <c r="D5" s="841"/>
      <c r="E5" s="841"/>
      <c r="F5" s="841"/>
      <c r="G5" s="841"/>
      <c r="H5" s="648"/>
      <c r="I5" s="150"/>
      <c r="J5" s="1"/>
      <c r="K5" s="1"/>
      <c r="L5" s="1"/>
      <c r="M5" s="1"/>
    </row>
    <row r="6" spans="1:13" ht="15" customHeight="1" x14ac:dyDescent="0.25">
      <c r="A6" s="573" t="s">
        <v>264</v>
      </c>
      <c r="B6" s="842" t="s">
        <v>1053</v>
      </c>
      <c r="C6" s="842"/>
      <c r="D6" s="842"/>
      <c r="E6" s="842"/>
      <c r="F6" s="842"/>
      <c r="G6" s="842"/>
      <c r="H6" s="647"/>
      <c r="I6" s="149"/>
      <c r="J6" s="1"/>
      <c r="K6" s="1"/>
      <c r="L6" s="1"/>
      <c r="M6" s="1"/>
    </row>
    <row r="7" spans="1:13" ht="5.0999999999999996" customHeight="1" thickBot="1" x14ac:dyDescent="0.3">
      <c r="B7" s="5"/>
      <c r="C7" s="5"/>
      <c r="D7" s="5"/>
      <c r="E7" s="9"/>
      <c r="F7" s="5"/>
      <c r="G7" s="5"/>
      <c r="H7" s="121"/>
      <c r="I7" s="151"/>
      <c r="J7" s="5"/>
      <c r="K7" s="5"/>
      <c r="L7" s="5"/>
    </row>
    <row r="8" spans="1:13" ht="34.5" customHeight="1" thickTop="1" thickBot="1" x14ac:dyDescent="0.3">
      <c r="A8" s="580" t="s">
        <v>1054</v>
      </c>
      <c r="B8" s="568" t="s">
        <v>701</v>
      </c>
      <c r="C8" s="568" t="s">
        <v>3</v>
      </c>
      <c r="D8" s="568" t="s">
        <v>265</v>
      </c>
      <c r="E8" s="569" t="s">
        <v>266</v>
      </c>
      <c r="F8" s="570" t="s">
        <v>267</v>
      </c>
      <c r="G8" s="570" t="s">
        <v>106</v>
      </c>
      <c r="H8" s="571"/>
    </row>
    <row r="9" spans="1:13" ht="4.5" customHeight="1" thickTop="1" thickBot="1" x14ac:dyDescent="0.3">
      <c r="B9" s="125"/>
      <c r="C9" s="125"/>
      <c r="D9" s="125"/>
      <c r="E9" s="126"/>
      <c r="F9" s="122"/>
      <c r="G9" s="122"/>
      <c r="H9" s="122"/>
    </row>
    <row r="10" spans="1:13" ht="18" customHeight="1" thickBot="1" x14ac:dyDescent="0.3">
      <c r="A10" s="836">
        <v>1</v>
      </c>
      <c r="B10" s="837"/>
      <c r="C10" s="356" t="s">
        <v>702</v>
      </c>
      <c r="D10" s="113"/>
      <c r="E10" s="114"/>
      <c r="F10" s="113"/>
      <c r="G10" s="463"/>
      <c r="H10" s="649"/>
    </row>
    <row r="11" spans="1:13" ht="24.95" customHeight="1" thickBot="1" x14ac:dyDescent="0.3">
      <c r="A11" s="583" t="s">
        <v>107</v>
      </c>
      <c r="B11" s="581" t="s">
        <v>216</v>
      </c>
      <c r="C11" s="78" t="s">
        <v>217</v>
      </c>
      <c r="D11" s="79" t="s">
        <v>270</v>
      </c>
      <c r="E11" s="80">
        <v>1</v>
      </c>
      <c r="F11" s="49">
        <f>SUM(G12:G17)/E11</f>
        <v>7.83</v>
      </c>
      <c r="G11" s="334">
        <f>E11*F11</f>
        <v>7.83</v>
      </c>
      <c r="H11" s="677"/>
      <c r="I11" s="576">
        <v>7.83</v>
      </c>
      <c r="J11" s="123"/>
      <c r="K11" s="123"/>
      <c r="L11" s="124"/>
      <c r="M11" s="90"/>
    </row>
    <row r="12" spans="1:13" ht="11.25" customHeight="1" x14ac:dyDescent="0.25">
      <c r="A12" s="583"/>
      <c r="B12" s="429">
        <v>88262</v>
      </c>
      <c r="C12" s="430" t="s">
        <v>689</v>
      </c>
      <c r="D12" s="431" t="s">
        <v>257</v>
      </c>
      <c r="E12" s="432">
        <f>0.13*E11</f>
        <v>0.13</v>
      </c>
      <c r="F12" s="433">
        <v>17.84</v>
      </c>
      <c r="G12" s="434">
        <f>F12*E12</f>
        <v>2.3199999999999998</v>
      </c>
      <c r="H12" s="723" t="s">
        <v>8</v>
      </c>
      <c r="I12" s="153"/>
      <c r="J12" s="41"/>
      <c r="K12" s="41"/>
      <c r="L12" s="41"/>
      <c r="M12" s="41"/>
    </row>
    <row r="13" spans="1:13" ht="11.25" customHeight="1" x14ac:dyDescent="0.25">
      <c r="A13" s="583"/>
      <c r="B13" s="429">
        <v>88316</v>
      </c>
      <c r="C13" s="430" t="s">
        <v>690</v>
      </c>
      <c r="D13" s="431" t="s">
        <v>257</v>
      </c>
      <c r="E13" s="432">
        <f>0.13*E11</f>
        <v>0.13</v>
      </c>
      <c r="F13" s="433">
        <v>13.56</v>
      </c>
      <c r="G13" s="434">
        <f t="shared" ref="G13" si="0">F13*E13</f>
        <v>1.76</v>
      </c>
      <c r="H13" s="724">
        <f>I11-H15</f>
        <v>4.08</v>
      </c>
      <c r="I13" s="153"/>
      <c r="J13" s="41"/>
      <c r="K13" s="41"/>
      <c r="L13" s="41"/>
      <c r="M13" s="41"/>
    </row>
    <row r="14" spans="1:13" ht="11.25" customHeight="1" x14ac:dyDescent="0.25">
      <c r="A14" s="583"/>
      <c r="B14" s="204">
        <v>4491</v>
      </c>
      <c r="C14" s="205" t="s">
        <v>276</v>
      </c>
      <c r="D14" s="206" t="s">
        <v>232</v>
      </c>
      <c r="E14" s="241">
        <f>0.25*E11</f>
        <v>0.25</v>
      </c>
      <c r="F14" s="208">
        <v>2.61</v>
      </c>
      <c r="G14" s="210">
        <f t="shared" ref="G14:G26" si="1">F14*E14</f>
        <v>0.65</v>
      </c>
      <c r="H14" s="752" t="s">
        <v>9</v>
      </c>
      <c r="I14" s="153"/>
      <c r="J14" s="41"/>
      <c r="K14" s="41"/>
      <c r="L14" s="41"/>
      <c r="M14" s="41"/>
    </row>
    <row r="15" spans="1:13" ht="11.25" customHeight="1" x14ac:dyDescent="0.25">
      <c r="A15" s="583"/>
      <c r="B15" s="204">
        <v>5061</v>
      </c>
      <c r="C15" s="205" t="s">
        <v>277</v>
      </c>
      <c r="D15" s="206" t="s">
        <v>271</v>
      </c>
      <c r="E15" s="241">
        <f>0.01*E11</f>
        <v>0.01</v>
      </c>
      <c r="F15" s="208">
        <v>7.75</v>
      </c>
      <c r="G15" s="210">
        <f t="shared" si="1"/>
        <v>0.08</v>
      </c>
      <c r="H15" s="753">
        <f>SUM(G14:G17)</f>
        <v>3.75</v>
      </c>
      <c r="I15" s="153"/>
      <c r="J15" s="41"/>
      <c r="K15" s="41"/>
      <c r="L15" s="41"/>
      <c r="M15" s="41"/>
    </row>
    <row r="16" spans="1:13" ht="11.25" customHeight="1" x14ac:dyDescent="0.25">
      <c r="A16" s="583"/>
      <c r="B16" s="204">
        <v>337</v>
      </c>
      <c r="C16" s="205" t="s">
        <v>275</v>
      </c>
      <c r="D16" s="206" t="s">
        <v>271</v>
      </c>
      <c r="E16" s="241">
        <f>0.02*E11</f>
        <v>0.02</v>
      </c>
      <c r="F16" s="208">
        <v>7</v>
      </c>
      <c r="G16" s="210">
        <f t="shared" ref="G16" si="2">F16*E16</f>
        <v>0.14000000000000001</v>
      </c>
      <c r="H16" s="678"/>
      <c r="I16" s="153"/>
      <c r="J16" s="41"/>
      <c r="K16" s="41"/>
      <c r="L16" s="41"/>
      <c r="M16" s="41"/>
    </row>
    <row r="17" spans="1:14" ht="23.25" customHeight="1" thickBot="1" x14ac:dyDescent="0.3">
      <c r="A17" s="584"/>
      <c r="B17" s="211">
        <v>6189</v>
      </c>
      <c r="C17" s="216" t="s">
        <v>688</v>
      </c>
      <c r="D17" s="212" t="s">
        <v>270</v>
      </c>
      <c r="E17" s="271">
        <f>0.317*E11</f>
        <v>0.317</v>
      </c>
      <c r="F17" s="214">
        <v>9.08</v>
      </c>
      <c r="G17" s="215">
        <f t="shared" si="1"/>
        <v>2.88</v>
      </c>
      <c r="H17" s="678"/>
      <c r="I17" s="153"/>
      <c r="J17" s="41"/>
      <c r="K17" s="41"/>
      <c r="L17" s="41"/>
      <c r="M17" s="41"/>
    </row>
    <row r="18" spans="1:14" ht="24.95" customHeight="1" x14ac:dyDescent="0.25">
      <c r="A18" s="582" t="s">
        <v>1055</v>
      </c>
      <c r="B18" s="305" t="s">
        <v>660</v>
      </c>
      <c r="C18" s="42" t="s">
        <v>691</v>
      </c>
      <c r="D18" s="43" t="s">
        <v>270</v>
      </c>
      <c r="E18" s="44">
        <v>1</v>
      </c>
      <c r="F18" s="30">
        <f>SUM(G19:G25)/E18</f>
        <v>342.05</v>
      </c>
      <c r="G18" s="77">
        <f t="shared" ref="G18" si="3">F18*E18</f>
        <v>342.05</v>
      </c>
      <c r="H18" s="679"/>
      <c r="I18" s="153"/>
      <c r="J18" s="41"/>
      <c r="K18" s="41"/>
      <c r="L18" s="41"/>
      <c r="M18" s="41"/>
    </row>
    <row r="19" spans="1:14" ht="11.25" customHeight="1" x14ac:dyDescent="0.25">
      <c r="A19" s="583"/>
      <c r="B19" s="429">
        <v>88262</v>
      </c>
      <c r="C19" s="430" t="s">
        <v>689</v>
      </c>
      <c r="D19" s="431" t="s">
        <v>257</v>
      </c>
      <c r="E19" s="432">
        <f>1*E18</f>
        <v>1</v>
      </c>
      <c r="F19" s="433">
        <v>17.84</v>
      </c>
      <c r="G19" s="434">
        <f>F19*E19</f>
        <v>17.84</v>
      </c>
      <c r="H19" s="679"/>
      <c r="I19" s="153"/>
      <c r="J19" s="41"/>
      <c r="K19" s="41"/>
      <c r="L19" s="41"/>
      <c r="M19" s="41"/>
    </row>
    <row r="20" spans="1:14" ht="11.25" customHeight="1" thickBot="1" x14ac:dyDescent="0.3">
      <c r="A20" s="583"/>
      <c r="B20" s="429">
        <v>88316</v>
      </c>
      <c r="C20" s="430" t="s">
        <v>690</v>
      </c>
      <c r="D20" s="431" t="s">
        <v>257</v>
      </c>
      <c r="E20" s="432">
        <f>2*E18</f>
        <v>2</v>
      </c>
      <c r="F20" s="433">
        <v>13.56</v>
      </c>
      <c r="G20" s="434">
        <f t="shared" ref="G20" si="4">F20*E20</f>
        <v>27.12</v>
      </c>
      <c r="H20" s="679"/>
      <c r="I20" s="153"/>
      <c r="J20" s="41"/>
      <c r="K20" s="41"/>
      <c r="L20" s="41"/>
      <c r="M20" s="41"/>
    </row>
    <row r="21" spans="1:14" ht="21.75" customHeight="1" thickBot="1" x14ac:dyDescent="0.3">
      <c r="A21" s="583"/>
      <c r="B21" s="204">
        <v>5652</v>
      </c>
      <c r="C21" s="205" t="s">
        <v>661</v>
      </c>
      <c r="D21" s="206" t="s">
        <v>272</v>
      </c>
      <c r="E21" s="241">
        <f>0.01*E18</f>
        <v>0.01</v>
      </c>
      <c r="F21" s="208">
        <v>273.69</v>
      </c>
      <c r="G21" s="210">
        <f>E21*F21</f>
        <v>2.74</v>
      </c>
      <c r="H21" s="725" t="s">
        <v>8</v>
      </c>
      <c r="I21" s="575">
        <v>342.05</v>
      </c>
      <c r="J21" s="41"/>
      <c r="K21" s="41"/>
      <c r="L21" s="41"/>
      <c r="M21" s="41"/>
    </row>
    <row r="22" spans="1:14" ht="21" customHeight="1" x14ac:dyDescent="0.25">
      <c r="A22" s="583"/>
      <c r="B22" s="204">
        <v>4417</v>
      </c>
      <c r="C22" s="205" t="s">
        <v>662</v>
      </c>
      <c r="D22" s="206" t="s">
        <v>268</v>
      </c>
      <c r="E22" s="241">
        <f>1*E18</f>
        <v>1</v>
      </c>
      <c r="F22" s="208">
        <v>3.12</v>
      </c>
      <c r="G22" s="210">
        <f t="shared" ref="G22:G25" si="5">E22*F22</f>
        <v>3.12</v>
      </c>
      <c r="H22" s="726">
        <f>I21-H24</f>
        <v>44.96</v>
      </c>
      <c r="I22" s="153"/>
      <c r="J22" s="41"/>
      <c r="K22" s="41"/>
      <c r="L22" s="41"/>
      <c r="M22" s="41"/>
    </row>
    <row r="23" spans="1:14" ht="26.25" customHeight="1" x14ac:dyDescent="0.25">
      <c r="A23" s="583"/>
      <c r="B23" s="204">
        <v>4491</v>
      </c>
      <c r="C23" s="205" t="s">
        <v>663</v>
      </c>
      <c r="D23" s="206" t="s">
        <v>268</v>
      </c>
      <c r="E23" s="241">
        <f>4*E18</f>
        <v>4</v>
      </c>
      <c r="F23" s="208">
        <v>2.61</v>
      </c>
      <c r="G23" s="210">
        <f t="shared" si="5"/>
        <v>10.44</v>
      </c>
      <c r="H23" s="754" t="s">
        <v>9</v>
      </c>
      <c r="I23" s="153"/>
      <c r="J23" s="41"/>
      <c r="K23" s="41"/>
      <c r="L23" s="41"/>
      <c r="M23" s="41"/>
    </row>
    <row r="24" spans="1:14" ht="22.5" customHeight="1" x14ac:dyDescent="0.25">
      <c r="A24" s="583"/>
      <c r="B24" s="204">
        <v>4813</v>
      </c>
      <c r="C24" s="205" t="s">
        <v>692</v>
      </c>
      <c r="D24" s="206" t="s">
        <v>270</v>
      </c>
      <c r="E24" s="241">
        <f>1*E18</f>
        <v>1</v>
      </c>
      <c r="F24" s="208">
        <v>280</v>
      </c>
      <c r="G24" s="210">
        <f t="shared" si="5"/>
        <v>280</v>
      </c>
      <c r="H24" s="402">
        <f>SUM(G21:G25)</f>
        <v>297.08999999999997</v>
      </c>
      <c r="I24" s="153"/>
      <c r="J24" s="41"/>
      <c r="K24" s="41"/>
      <c r="L24" s="41"/>
      <c r="M24" s="41"/>
    </row>
    <row r="25" spans="1:14" ht="12" thickBot="1" x14ac:dyDescent="0.3">
      <c r="A25" s="584"/>
      <c r="B25" s="204">
        <v>5075</v>
      </c>
      <c r="C25" s="205" t="s">
        <v>664</v>
      </c>
      <c r="D25" s="206" t="s">
        <v>271</v>
      </c>
      <c r="E25" s="241">
        <f>0.11*E18</f>
        <v>0.11</v>
      </c>
      <c r="F25" s="208">
        <v>7.21</v>
      </c>
      <c r="G25" s="210">
        <f t="shared" si="5"/>
        <v>0.79</v>
      </c>
      <c r="H25" s="678"/>
      <c r="I25" s="153"/>
      <c r="J25" s="41"/>
      <c r="K25" s="41"/>
      <c r="L25" s="41"/>
      <c r="M25" s="41"/>
    </row>
    <row r="26" spans="1:14" ht="47.25" customHeight="1" thickBot="1" x14ac:dyDescent="0.3">
      <c r="A26" s="582" t="s">
        <v>1056</v>
      </c>
      <c r="B26" s="305" t="s">
        <v>700</v>
      </c>
      <c r="C26" s="42" t="s">
        <v>693</v>
      </c>
      <c r="D26" s="43" t="s">
        <v>270</v>
      </c>
      <c r="E26" s="44">
        <v>1</v>
      </c>
      <c r="F26" s="30">
        <f>SUM(G27:G31)/E26</f>
        <v>529.61</v>
      </c>
      <c r="G26" s="77">
        <f t="shared" si="1"/>
        <v>529.61</v>
      </c>
      <c r="H26" s="679"/>
      <c r="I26" s="152"/>
      <c r="J26" s="123"/>
      <c r="K26" s="123"/>
      <c r="L26" s="124"/>
      <c r="M26" s="90"/>
    </row>
    <row r="27" spans="1:14" ht="23.25" thickBot="1" x14ac:dyDescent="0.3">
      <c r="A27" s="583"/>
      <c r="B27" s="204"/>
      <c r="C27" s="205" t="s">
        <v>694</v>
      </c>
      <c r="D27" s="206" t="s">
        <v>268</v>
      </c>
      <c r="E27" s="241">
        <f>0.398*E26</f>
        <v>0.39800000000000002</v>
      </c>
      <c r="F27" s="208">
        <v>6.03</v>
      </c>
      <c r="G27" s="210">
        <f>E27*F27</f>
        <v>2.4</v>
      </c>
      <c r="H27" s="725" t="s">
        <v>8</v>
      </c>
      <c r="I27" s="575">
        <v>529.61</v>
      </c>
      <c r="J27" s="41"/>
      <c r="K27" s="41"/>
      <c r="L27" s="41"/>
      <c r="M27" s="41"/>
    </row>
    <row r="28" spans="1:14" ht="22.5" x14ac:dyDescent="0.25">
      <c r="A28" s="583"/>
      <c r="B28" s="204"/>
      <c r="C28" s="205" t="s">
        <v>695</v>
      </c>
      <c r="D28" s="206" t="s">
        <v>268</v>
      </c>
      <c r="E28" s="241">
        <f>0.1*E26</f>
        <v>0.1</v>
      </c>
      <c r="F28" s="208">
        <v>105.76</v>
      </c>
      <c r="G28" s="210">
        <f t="shared" ref="G28:G31" si="6">E28*F28</f>
        <v>10.58</v>
      </c>
      <c r="H28" s="726">
        <v>0</v>
      </c>
      <c r="I28" s="153"/>
      <c r="J28" s="41"/>
      <c r="K28" s="41"/>
      <c r="L28" s="41"/>
      <c r="M28" s="41"/>
    </row>
    <row r="29" spans="1:14" ht="22.5" x14ac:dyDescent="0.25">
      <c r="A29" s="583"/>
      <c r="B29" s="204"/>
      <c r="C29" s="205" t="s">
        <v>696</v>
      </c>
      <c r="D29" s="206" t="s">
        <v>268</v>
      </c>
      <c r="E29" s="241">
        <f>0.1*E26</f>
        <v>0.1</v>
      </c>
      <c r="F29" s="208">
        <v>47.48</v>
      </c>
      <c r="G29" s="210">
        <f t="shared" si="6"/>
        <v>4.75</v>
      </c>
      <c r="H29" s="754" t="s">
        <v>9</v>
      </c>
      <c r="I29" s="153"/>
      <c r="J29" s="41"/>
      <c r="K29" s="41"/>
      <c r="L29" s="41"/>
      <c r="M29" s="41"/>
    </row>
    <row r="30" spans="1:14" ht="22.5" x14ac:dyDescent="0.25">
      <c r="A30" s="583"/>
      <c r="B30" s="204"/>
      <c r="C30" s="205" t="s">
        <v>697</v>
      </c>
      <c r="D30" s="206" t="s">
        <v>268</v>
      </c>
      <c r="E30" s="241">
        <f>0.1*E26</f>
        <v>0.1</v>
      </c>
      <c r="F30" s="208">
        <v>156.51</v>
      </c>
      <c r="G30" s="210">
        <f t="shared" si="6"/>
        <v>15.65</v>
      </c>
      <c r="H30" s="402">
        <f>SUM(G27:G31)</f>
        <v>529.61</v>
      </c>
      <c r="I30" s="153"/>
      <c r="J30" s="41"/>
      <c r="K30" s="41"/>
      <c r="L30" s="41"/>
      <c r="M30" s="41"/>
    </row>
    <row r="31" spans="1:14" ht="22.5" customHeight="1" thickBot="1" x14ac:dyDescent="0.3">
      <c r="A31" s="583"/>
      <c r="B31" s="242"/>
      <c r="C31" s="243" t="s">
        <v>698</v>
      </c>
      <c r="D31" s="244" t="s">
        <v>699</v>
      </c>
      <c r="E31" s="245">
        <f>1*E26</f>
        <v>1</v>
      </c>
      <c r="F31" s="246">
        <v>496.23</v>
      </c>
      <c r="G31" s="247">
        <f t="shared" si="6"/>
        <v>496.23</v>
      </c>
      <c r="H31" s="678"/>
      <c r="I31" s="153"/>
      <c r="J31" s="41"/>
      <c r="K31" s="41"/>
      <c r="L31" s="41"/>
      <c r="M31" s="41"/>
    </row>
    <row r="32" spans="1:14" ht="21.75" customHeight="1" thickBot="1" x14ac:dyDescent="0.3">
      <c r="A32" s="836">
        <v>2</v>
      </c>
      <c r="B32" s="838"/>
      <c r="C32" s="822" t="s">
        <v>703</v>
      </c>
      <c r="D32" s="823"/>
      <c r="E32" s="823"/>
      <c r="F32" s="823"/>
      <c r="G32" s="823"/>
      <c r="H32" s="824"/>
      <c r="I32" s="154"/>
      <c r="J32" s="41"/>
      <c r="K32" s="41"/>
      <c r="L32" s="41"/>
      <c r="M32" s="41"/>
      <c r="N32" s="41"/>
    </row>
    <row r="33" spans="1:14" ht="12" thickBot="1" x14ac:dyDescent="0.3">
      <c r="A33" s="583" t="s">
        <v>108</v>
      </c>
      <c r="B33" s="585">
        <v>5970</v>
      </c>
      <c r="C33" s="112" t="s">
        <v>219</v>
      </c>
      <c r="D33" s="586" t="s">
        <v>270</v>
      </c>
      <c r="E33" s="587">
        <v>1</v>
      </c>
      <c r="F33" s="49">
        <f>SUM(G34:G39)/E33</f>
        <v>49.51</v>
      </c>
      <c r="G33" s="588">
        <f t="shared" ref="G33:G39" si="7">F33*E33</f>
        <v>49.51</v>
      </c>
      <c r="H33" s="680"/>
      <c r="I33" s="660">
        <v>49.51</v>
      </c>
      <c r="J33" s="41"/>
      <c r="K33" s="41"/>
      <c r="L33" s="127"/>
      <c r="M33" s="90"/>
      <c r="N33" s="41"/>
    </row>
    <row r="34" spans="1:14" ht="21.75" customHeight="1" x14ac:dyDescent="0.25">
      <c r="A34" s="583"/>
      <c r="B34" s="429">
        <v>88239</v>
      </c>
      <c r="C34" s="430" t="s">
        <v>704</v>
      </c>
      <c r="D34" s="431" t="s">
        <v>257</v>
      </c>
      <c r="E34" s="371">
        <f>1*E33</f>
        <v>1</v>
      </c>
      <c r="F34" s="433">
        <v>14.19</v>
      </c>
      <c r="G34" s="481">
        <f t="shared" si="7"/>
        <v>14.19</v>
      </c>
      <c r="H34" s="93" t="s">
        <v>8</v>
      </c>
      <c r="I34" s="155"/>
      <c r="J34" s="41"/>
      <c r="K34" s="41"/>
      <c r="L34" s="41"/>
      <c r="M34" s="41"/>
      <c r="N34" s="41"/>
    </row>
    <row r="35" spans="1:14" x14ac:dyDescent="0.25">
      <c r="A35" s="583"/>
      <c r="B35" s="429">
        <v>88262</v>
      </c>
      <c r="C35" s="430" t="s">
        <v>689</v>
      </c>
      <c r="D35" s="431" t="s">
        <v>257</v>
      </c>
      <c r="E35" s="371">
        <f>1*E33</f>
        <v>1</v>
      </c>
      <c r="F35" s="433">
        <v>17.84</v>
      </c>
      <c r="G35" s="434">
        <f t="shared" ref="G35" si="8">F35*E35</f>
        <v>17.84</v>
      </c>
      <c r="H35" s="217">
        <f>I33-H37</f>
        <v>32.03</v>
      </c>
      <c r="I35" s="155"/>
      <c r="J35" s="41"/>
      <c r="K35" s="41"/>
      <c r="L35" s="41"/>
      <c r="M35" s="41"/>
      <c r="N35" s="41"/>
    </row>
    <row r="36" spans="1:14" ht="22.5" x14ac:dyDescent="0.25">
      <c r="A36" s="583"/>
      <c r="B36" s="204">
        <v>4491</v>
      </c>
      <c r="C36" s="205" t="s">
        <v>526</v>
      </c>
      <c r="D36" s="206" t="s">
        <v>232</v>
      </c>
      <c r="E36" s="207">
        <f>0.57*E33</f>
        <v>0.56999999999999995</v>
      </c>
      <c r="F36" s="208">
        <v>2.61</v>
      </c>
      <c r="G36" s="209">
        <f t="shared" si="7"/>
        <v>1.49</v>
      </c>
      <c r="H36" s="752" t="s">
        <v>9</v>
      </c>
      <c r="I36" s="155"/>
      <c r="J36" s="41"/>
      <c r="K36" s="41"/>
      <c r="L36" s="41"/>
      <c r="M36" s="41"/>
      <c r="N36" s="41"/>
    </row>
    <row r="37" spans="1:14" ht="22.5" x14ac:dyDescent="0.25">
      <c r="A37" s="583"/>
      <c r="B37" s="204">
        <v>4506</v>
      </c>
      <c r="C37" s="205" t="s">
        <v>527</v>
      </c>
      <c r="D37" s="206" t="s">
        <v>232</v>
      </c>
      <c r="E37" s="207">
        <f>0.27*E33</f>
        <v>0.27</v>
      </c>
      <c r="F37" s="208">
        <v>1.62</v>
      </c>
      <c r="G37" s="209">
        <f t="shared" si="7"/>
        <v>0.44</v>
      </c>
      <c r="H37" s="753">
        <f>G36+G37+G38+G39</f>
        <v>17.48</v>
      </c>
      <c r="I37" s="155"/>
      <c r="J37" s="41"/>
      <c r="K37" s="41"/>
      <c r="L37" s="41"/>
      <c r="M37" s="41"/>
      <c r="N37" s="41"/>
    </row>
    <row r="38" spans="1:14" x14ac:dyDescent="0.25">
      <c r="A38" s="583"/>
      <c r="B38" s="204">
        <v>5061</v>
      </c>
      <c r="C38" s="205" t="s">
        <v>277</v>
      </c>
      <c r="D38" s="206" t="s">
        <v>271</v>
      </c>
      <c r="E38" s="207">
        <f>0.15*E33</f>
        <v>0.15</v>
      </c>
      <c r="F38" s="208">
        <v>7.75</v>
      </c>
      <c r="G38" s="210">
        <f t="shared" si="7"/>
        <v>1.1599999999999999</v>
      </c>
      <c r="H38" s="681"/>
      <c r="I38" s="155"/>
      <c r="J38" s="41"/>
      <c r="K38" s="41"/>
      <c r="L38" s="41"/>
      <c r="M38" s="41"/>
      <c r="N38" s="41"/>
    </row>
    <row r="39" spans="1:14" ht="23.25" thickBot="1" x14ac:dyDescent="0.3">
      <c r="A39" s="584"/>
      <c r="B39" s="211">
        <v>6189</v>
      </c>
      <c r="C39" s="216" t="s">
        <v>528</v>
      </c>
      <c r="D39" s="212" t="s">
        <v>232</v>
      </c>
      <c r="E39" s="213">
        <f>1.585*E33</f>
        <v>1.585</v>
      </c>
      <c r="F39" s="214">
        <v>9.08</v>
      </c>
      <c r="G39" s="215">
        <f t="shared" si="7"/>
        <v>14.39</v>
      </c>
      <c r="H39" s="681"/>
      <c r="I39" s="155"/>
      <c r="J39" s="41"/>
      <c r="K39" s="41"/>
      <c r="L39" s="41"/>
      <c r="M39" s="41"/>
      <c r="N39" s="41"/>
    </row>
    <row r="40" spans="1:14" ht="23.25" thickBot="1" x14ac:dyDescent="0.3">
      <c r="A40" s="644" t="s">
        <v>109</v>
      </c>
      <c r="B40" s="305" t="s">
        <v>220</v>
      </c>
      <c r="C40" s="42" t="s">
        <v>221</v>
      </c>
      <c r="D40" s="43" t="s">
        <v>271</v>
      </c>
      <c r="E40" s="44">
        <v>1</v>
      </c>
      <c r="F40" s="30">
        <f>SUM(G41:G44)/E40</f>
        <v>7.72</v>
      </c>
      <c r="G40" s="45">
        <f t="shared" ref="G40:G46" si="9">F40*E40</f>
        <v>7.72</v>
      </c>
      <c r="H40" s="677"/>
      <c r="I40" s="152"/>
      <c r="J40" s="123"/>
      <c r="K40" s="123"/>
      <c r="L40" s="127"/>
      <c r="M40" s="90"/>
      <c r="N40" s="41"/>
    </row>
    <row r="41" spans="1:14" ht="12" thickBot="1" x14ac:dyDescent="0.3">
      <c r="A41" s="645"/>
      <c r="B41" s="204">
        <v>39</v>
      </c>
      <c r="C41" s="205" t="s">
        <v>289</v>
      </c>
      <c r="D41" s="206" t="s">
        <v>271</v>
      </c>
      <c r="E41" s="320">
        <f>1.1*E40</f>
        <v>1.1000000000000001</v>
      </c>
      <c r="F41" s="208">
        <v>3.93</v>
      </c>
      <c r="G41" s="210">
        <f t="shared" si="9"/>
        <v>4.32</v>
      </c>
      <c r="H41" s="723" t="s">
        <v>8</v>
      </c>
      <c r="I41" s="576">
        <f>7.72</f>
        <v>7.72</v>
      </c>
      <c r="J41" s="41"/>
      <c r="K41" s="41"/>
      <c r="L41" s="41"/>
      <c r="M41" s="41"/>
      <c r="N41" s="41"/>
    </row>
    <row r="42" spans="1:14" x14ac:dyDescent="0.25">
      <c r="A42" s="645"/>
      <c r="B42" s="204">
        <v>337</v>
      </c>
      <c r="C42" s="205" t="s">
        <v>275</v>
      </c>
      <c r="D42" s="206" t="s">
        <v>271</v>
      </c>
      <c r="E42" s="320">
        <f>0.02*E40</f>
        <v>0.02</v>
      </c>
      <c r="F42" s="208">
        <v>7</v>
      </c>
      <c r="G42" s="210">
        <f t="shared" si="9"/>
        <v>0.14000000000000001</v>
      </c>
      <c r="H42" s="724">
        <f>I41-H44</f>
        <v>3.26</v>
      </c>
      <c r="I42" s="153"/>
      <c r="J42" s="41"/>
      <c r="K42" s="41"/>
      <c r="L42" s="41"/>
      <c r="M42" s="41"/>
      <c r="N42" s="41"/>
    </row>
    <row r="43" spans="1:14" x14ac:dyDescent="0.25">
      <c r="A43" s="645"/>
      <c r="B43" s="429">
        <v>88245</v>
      </c>
      <c r="C43" s="430" t="s">
        <v>705</v>
      </c>
      <c r="D43" s="431" t="s">
        <v>257</v>
      </c>
      <c r="E43" s="727">
        <f>0.1*E40</f>
        <v>0.1</v>
      </c>
      <c r="F43" s="433">
        <v>19</v>
      </c>
      <c r="G43" s="434">
        <f t="shared" si="9"/>
        <v>1.9</v>
      </c>
      <c r="H43" s="752" t="s">
        <v>9</v>
      </c>
      <c r="I43" s="153"/>
      <c r="J43" s="41"/>
      <c r="K43" s="48"/>
      <c r="L43" s="41"/>
      <c r="M43" s="41"/>
      <c r="N43" s="41"/>
    </row>
    <row r="44" spans="1:14" ht="12" thickBot="1" x14ac:dyDescent="0.3">
      <c r="A44" s="646"/>
      <c r="B44" s="465">
        <v>88316</v>
      </c>
      <c r="C44" s="466" t="s">
        <v>690</v>
      </c>
      <c r="D44" s="467" t="s">
        <v>257</v>
      </c>
      <c r="E44" s="728">
        <f>0.1*E40</f>
        <v>0.1</v>
      </c>
      <c r="F44" s="729">
        <v>13.56</v>
      </c>
      <c r="G44" s="730">
        <f t="shared" si="9"/>
        <v>1.36</v>
      </c>
      <c r="H44" s="753">
        <f>G41+G42</f>
        <v>4.46</v>
      </c>
      <c r="I44" s="153"/>
      <c r="J44" s="41"/>
      <c r="K44" s="48"/>
      <c r="L44" s="41"/>
      <c r="M44" s="41"/>
      <c r="N44" s="41"/>
    </row>
    <row r="45" spans="1:14" ht="23.25" thickBot="1" x14ac:dyDescent="0.25">
      <c r="A45" s="644" t="s">
        <v>110</v>
      </c>
      <c r="B45" s="305" t="s">
        <v>706</v>
      </c>
      <c r="C45" s="42" t="s">
        <v>707</v>
      </c>
      <c r="D45" s="43" t="s">
        <v>272</v>
      </c>
      <c r="E45" s="44">
        <v>1</v>
      </c>
      <c r="F45" s="30">
        <f>SUM(G46)/E45</f>
        <v>40.65</v>
      </c>
      <c r="G45" s="45">
        <f t="shared" si="9"/>
        <v>40.65</v>
      </c>
      <c r="H45" s="682" t="s">
        <v>8</v>
      </c>
      <c r="I45" s="576">
        <v>40.65</v>
      </c>
      <c r="J45" s="123"/>
      <c r="K45" s="41"/>
      <c r="L45" s="41"/>
      <c r="M45" s="90"/>
      <c r="N45" s="41"/>
    </row>
    <row r="46" spans="1:14" ht="12" thickBot="1" x14ac:dyDescent="0.3">
      <c r="A46" s="646"/>
      <c r="B46" s="465">
        <v>88316</v>
      </c>
      <c r="C46" s="466" t="s">
        <v>690</v>
      </c>
      <c r="D46" s="467" t="s">
        <v>257</v>
      </c>
      <c r="E46" s="731">
        <f>2.998*E45</f>
        <v>2.9980000000000002</v>
      </c>
      <c r="F46" s="729">
        <v>13.56</v>
      </c>
      <c r="G46" s="730">
        <f t="shared" si="9"/>
        <v>40.65</v>
      </c>
      <c r="H46" s="732">
        <f>G46</f>
        <v>40.65</v>
      </c>
      <c r="I46" s="153"/>
      <c r="J46" s="41"/>
      <c r="K46" s="41"/>
      <c r="L46" s="41"/>
      <c r="M46" s="41"/>
      <c r="N46" s="41"/>
    </row>
    <row r="47" spans="1:14" ht="23.25" customHeight="1" thickBot="1" x14ac:dyDescent="0.25">
      <c r="A47" s="582" t="s">
        <v>111</v>
      </c>
      <c r="B47" s="305" t="s">
        <v>222</v>
      </c>
      <c r="C47" s="42" t="s">
        <v>223</v>
      </c>
      <c r="D47" s="43" t="s">
        <v>272</v>
      </c>
      <c r="E47" s="53">
        <v>1</v>
      </c>
      <c r="F47" s="30">
        <f>SUM(G48)/E47</f>
        <v>47.43</v>
      </c>
      <c r="G47" s="54">
        <f>F47*E47</f>
        <v>47.43</v>
      </c>
      <c r="H47" s="193" t="s">
        <v>8</v>
      </c>
      <c r="I47" s="576">
        <v>47.43</v>
      </c>
      <c r="J47" s="41"/>
      <c r="K47" s="41"/>
      <c r="L47" s="41"/>
      <c r="M47" s="90"/>
      <c r="N47" s="41"/>
    </row>
    <row r="48" spans="1:14" ht="12" thickBot="1" x14ac:dyDescent="0.3">
      <c r="A48" s="584"/>
      <c r="B48" s="465">
        <v>88316</v>
      </c>
      <c r="C48" s="466" t="s">
        <v>690</v>
      </c>
      <c r="D48" s="467" t="s">
        <v>257</v>
      </c>
      <c r="E48" s="733">
        <f>3.498*E47</f>
        <v>3.4980000000000002</v>
      </c>
      <c r="F48" s="729">
        <v>13.56</v>
      </c>
      <c r="G48" s="734">
        <f>F48*E48</f>
        <v>47.43</v>
      </c>
      <c r="H48" s="724">
        <f>G48</f>
        <v>47.43</v>
      </c>
      <c r="I48" s="578"/>
      <c r="J48" s="41"/>
      <c r="K48" s="41"/>
      <c r="L48" s="41"/>
      <c r="M48" s="41"/>
      <c r="N48" s="41"/>
    </row>
    <row r="49" spans="1:14" ht="23.25" thickBot="1" x14ac:dyDescent="0.3">
      <c r="A49" s="644" t="s">
        <v>112</v>
      </c>
      <c r="B49" s="605" t="s">
        <v>390</v>
      </c>
      <c r="C49" s="169" t="s">
        <v>391</v>
      </c>
      <c r="D49" s="43" t="s">
        <v>272</v>
      </c>
      <c r="E49" s="56">
        <v>1</v>
      </c>
      <c r="F49" s="57">
        <f>SUM(G50:G55)/E49</f>
        <v>365.91</v>
      </c>
      <c r="G49" s="65">
        <f>F49*E49</f>
        <v>365.91</v>
      </c>
      <c r="H49" s="579"/>
      <c r="I49" s="362"/>
      <c r="J49" s="41"/>
      <c r="K49" s="41"/>
      <c r="L49" s="41"/>
      <c r="M49" s="90"/>
      <c r="N49" s="41"/>
    </row>
    <row r="50" spans="1:14" ht="33.75" customHeight="1" thickBot="1" x14ac:dyDescent="0.25">
      <c r="A50" s="645"/>
      <c r="B50" s="291">
        <v>1525</v>
      </c>
      <c r="C50" s="205" t="s">
        <v>708</v>
      </c>
      <c r="D50" s="206" t="s">
        <v>33</v>
      </c>
      <c r="E50" s="219">
        <f>1.05*E49</f>
        <v>1.05</v>
      </c>
      <c r="F50" s="208">
        <v>296.23</v>
      </c>
      <c r="G50" s="210">
        <f>F50*E50</f>
        <v>311.04000000000002</v>
      </c>
      <c r="H50" s="735" t="s">
        <v>8</v>
      </c>
      <c r="I50" s="576">
        <v>365.91</v>
      </c>
      <c r="J50" s="41"/>
      <c r="K50" s="41"/>
      <c r="L50" s="41"/>
      <c r="M50" s="41"/>
      <c r="N50" s="41"/>
    </row>
    <row r="51" spans="1:14" ht="21.75" customHeight="1" x14ac:dyDescent="0.25">
      <c r="A51" s="645"/>
      <c r="B51" s="291">
        <v>10485</v>
      </c>
      <c r="C51" s="205" t="s">
        <v>709</v>
      </c>
      <c r="D51" s="206" t="s">
        <v>257</v>
      </c>
      <c r="E51" s="219">
        <f>0.3*E49</f>
        <v>0.3</v>
      </c>
      <c r="F51" s="208">
        <v>0.97</v>
      </c>
      <c r="G51" s="210">
        <f t="shared" ref="G51:G56" si="10">F51*E51</f>
        <v>0.28999999999999998</v>
      </c>
      <c r="H51" s="726">
        <f>I50-H53</f>
        <v>54.58</v>
      </c>
      <c r="I51" s="154"/>
      <c r="J51" s="41"/>
      <c r="K51" s="41"/>
      <c r="L51" s="41"/>
      <c r="M51" s="41"/>
      <c r="N51" s="41"/>
    </row>
    <row r="52" spans="1:14" x14ac:dyDescent="0.25">
      <c r="A52" s="645"/>
      <c r="B52" s="621">
        <v>88245</v>
      </c>
      <c r="C52" s="430" t="s">
        <v>705</v>
      </c>
      <c r="D52" s="431" t="s">
        <v>257</v>
      </c>
      <c r="E52" s="736">
        <f>0.6*E49</f>
        <v>0.6</v>
      </c>
      <c r="F52" s="433">
        <v>19</v>
      </c>
      <c r="G52" s="434">
        <f>F52*E52</f>
        <v>11.4</v>
      </c>
      <c r="H52" s="754" t="s">
        <v>9</v>
      </c>
      <c r="I52" s="154"/>
      <c r="J52" s="41"/>
      <c r="K52" s="41"/>
      <c r="L52" s="41"/>
      <c r="M52" s="41"/>
      <c r="N52" s="41"/>
    </row>
    <row r="53" spans="1:14" x14ac:dyDescent="0.25">
      <c r="A53" s="645"/>
      <c r="B53" s="621">
        <v>88262</v>
      </c>
      <c r="C53" s="430" t="s">
        <v>689</v>
      </c>
      <c r="D53" s="431" t="s">
        <v>257</v>
      </c>
      <c r="E53" s="736">
        <f>0.6*E49</f>
        <v>0.6</v>
      </c>
      <c r="F53" s="433">
        <v>17.84</v>
      </c>
      <c r="G53" s="434">
        <f t="shared" ref="G53:G55" si="11">F53*E53</f>
        <v>10.7</v>
      </c>
      <c r="H53" s="402">
        <f>G50+G51</f>
        <v>311.33</v>
      </c>
      <c r="I53" s="154"/>
      <c r="J53" s="41"/>
      <c r="K53" s="41"/>
      <c r="L53" s="41"/>
      <c r="M53" s="41"/>
      <c r="N53" s="41"/>
    </row>
    <row r="54" spans="1:14" x14ac:dyDescent="0.25">
      <c r="A54" s="645"/>
      <c r="B54" s="621">
        <v>88309</v>
      </c>
      <c r="C54" s="430" t="s">
        <v>710</v>
      </c>
      <c r="D54" s="431" t="s">
        <v>257</v>
      </c>
      <c r="E54" s="736">
        <f>0.6*E49</f>
        <v>0.6</v>
      </c>
      <c r="F54" s="433">
        <v>17.97</v>
      </c>
      <c r="G54" s="434">
        <f t="shared" si="11"/>
        <v>10.78</v>
      </c>
      <c r="H54" s="678"/>
      <c r="I54" s="154"/>
      <c r="J54" s="41"/>
      <c r="K54" s="41"/>
      <c r="L54" s="41"/>
      <c r="M54" s="41"/>
      <c r="N54" s="41"/>
    </row>
    <row r="55" spans="1:14" ht="12" thickBot="1" x14ac:dyDescent="0.3">
      <c r="A55" s="646"/>
      <c r="B55" s="621">
        <v>88316</v>
      </c>
      <c r="C55" s="430" t="s">
        <v>690</v>
      </c>
      <c r="D55" s="431" t="s">
        <v>257</v>
      </c>
      <c r="E55" s="736">
        <f>1.6*E49</f>
        <v>1.6</v>
      </c>
      <c r="F55" s="433">
        <v>13.56</v>
      </c>
      <c r="G55" s="434">
        <f t="shared" si="11"/>
        <v>21.7</v>
      </c>
      <c r="H55" s="678"/>
      <c r="I55" s="154"/>
      <c r="J55" s="41"/>
      <c r="K55" s="41"/>
      <c r="L55" s="41"/>
      <c r="M55" s="41"/>
      <c r="N55" s="41"/>
    </row>
    <row r="56" spans="1:14" ht="23.25" thickBot="1" x14ac:dyDescent="0.3">
      <c r="A56" s="644" t="s">
        <v>113</v>
      </c>
      <c r="B56" s="305">
        <v>5622</v>
      </c>
      <c r="C56" s="42" t="s">
        <v>225</v>
      </c>
      <c r="D56" s="43" t="s">
        <v>270</v>
      </c>
      <c r="E56" s="44">
        <v>1</v>
      </c>
      <c r="F56" s="30">
        <f>SUM(G57)/E56</f>
        <v>4.47</v>
      </c>
      <c r="G56" s="45">
        <f t="shared" si="10"/>
        <v>4.47</v>
      </c>
      <c r="H56" s="737" t="s">
        <v>8</v>
      </c>
      <c r="I56" s="576">
        <v>4.47</v>
      </c>
      <c r="J56" s="123"/>
      <c r="K56" s="41"/>
      <c r="L56" s="41"/>
      <c r="M56" s="90"/>
      <c r="N56" s="41"/>
    </row>
    <row r="57" spans="1:14" ht="12" thickBot="1" x14ac:dyDescent="0.3">
      <c r="A57" s="646"/>
      <c r="B57" s="429">
        <v>88316</v>
      </c>
      <c r="C57" s="430" t="s">
        <v>690</v>
      </c>
      <c r="D57" s="467" t="s">
        <v>257</v>
      </c>
      <c r="E57" s="731">
        <f>0.33*E56</f>
        <v>0.33</v>
      </c>
      <c r="F57" s="729">
        <v>13.56</v>
      </c>
      <c r="G57" s="730">
        <f>F57*E57</f>
        <v>4.47</v>
      </c>
      <c r="H57" s="738">
        <v>2.83</v>
      </c>
      <c r="I57" s="153"/>
      <c r="J57" s="41"/>
      <c r="K57" s="41"/>
      <c r="L57" s="41"/>
      <c r="M57" s="41"/>
      <c r="N57" s="41"/>
    </row>
    <row r="58" spans="1:14" ht="22.5" customHeight="1" thickBot="1" x14ac:dyDescent="0.3">
      <c r="A58" s="644" t="s">
        <v>114</v>
      </c>
      <c r="B58" s="306" t="s">
        <v>294</v>
      </c>
      <c r="C58" s="66" t="s">
        <v>711</v>
      </c>
      <c r="D58" s="67" t="s">
        <v>245</v>
      </c>
      <c r="E58" s="68">
        <v>1</v>
      </c>
      <c r="F58" s="30">
        <f>SUM(G59:G64)/E58</f>
        <v>380.39</v>
      </c>
      <c r="G58" s="69">
        <f t="shared" ref="G58:G64" si="12">F58*E58</f>
        <v>380.39</v>
      </c>
      <c r="H58" s="683"/>
      <c r="I58" s="358"/>
      <c r="J58" s="41"/>
      <c r="K58" s="41"/>
      <c r="L58" s="41"/>
      <c r="M58" s="90"/>
      <c r="N58" s="41"/>
    </row>
    <row r="59" spans="1:14" ht="12" thickBot="1" x14ac:dyDescent="0.3">
      <c r="A59" s="645"/>
      <c r="B59" s="222">
        <v>367</v>
      </c>
      <c r="C59" s="223" t="s">
        <v>282</v>
      </c>
      <c r="D59" s="224" t="s">
        <v>272</v>
      </c>
      <c r="E59" s="225">
        <f>0.427*E58</f>
        <v>0.42699999999999999</v>
      </c>
      <c r="F59" s="226">
        <v>74</v>
      </c>
      <c r="G59" s="227">
        <f t="shared" si="12"/>
        <v>31.6</v>
      </c>
      <c r="H59" s="737" t="s">
        <v>8</v>
      </c>
      <c r="I59" s="661">
        <v>380.39</v>
      </c>
      <c r="J59" s="41"/>
      <c r="K59" s="41"/>
      <c r="L59" s="41"/>
      <c r="M59" s="41"/>
      <c r="N59" s="41"/>
    </row>
    <row r="60" spans="1:14" x14ac:dyDescent="0.25">
      <c r="A60" s="645"/>
      <c r="B60" s="222">
        <v>1379</v>
      </c>
      <c r="C60" s="223" t="s">
        <v>259</v>
      </c>
      <c r="D60" s="224" t="s">
        <v>271</v>
      </c>
      <c r="E60" s="225">
        <f>189*E58</f>
        <v>189</v>
      </c>
      <c r="F60" s="226">
        <v>0.49</v>
      </c>
      <c r="G60" s="227">
        <f t="shared" si="12"/>
        <v>92.61</v>
      </c>
      <c r="H60" s="726">
        <f>I59-H62</f>
        <v>170.47</v>
      </c>
      <c r="I60" s="157"/>
      <c r="J60" s="41"/>
      <c r="K60" s="41"/>
      <c r="L60" s="41"/>
      <c r="M60" s="41"/>
      <c r="N60" s="41"/>
    </row>
    <row r="61" spans="1:14" x14ac:dyDescent="0.25">
      <c r="A61" s="645"/>
      <c r="B61" s="222">
        <v>4718</v>
      </c>
      <c r="C61" s="223" t="s">
        <v>292</v>
      </c>
      <c r="D61" s="224" t="s">
        <v>272</v>
      </c>
      <c r="E61" s="225">
        <f>0.507*E58</f>
        <v>0.50700000000000001</v>
      </c>
      <c r="F61" s="208">
        <v>83.05</v>
      </c>
      <c r="G61" s="227">
        <f t="shared" si="12"/>
        <v>42.11</v>
      </c>
      <c r="H61" s="754" t="s">
        <v>9</v>
      </c>
      <c r="I61" s="157"/>
      <c r="J61" s="41"/>
      <c r="K61" s="41"/>
      <c r="L61" s="41"/>
      <c r="M61" s="41"/>
      <c r="N61" s="41"/>
    </row>
    <row r="62" spans="1:14" ht="12" thickBot="1" x14ac:dyDescent="0.3">
      <c r="A62" s="645"/>
      <c r="B62" s="222">
        <v>4721</v>
      </c>
      <c r="C62" s="223" t="s">
        <v>284</v>
      </c>
      <c r="D62" s="224" t="s">
        <v>272</v>
      </c>
      <c r="E62" s="225">
        <f>0.507*E58</f>
        <v>0.50700000000000001</v>
      </c>
      <c r="F62" s="208">
        <v>85.99</v>
      </c>
      <c r="G62" s="227">
        <f t="shared" si="12"/>
        <v>43.6</v>
      </c>
      <c r="H62" s="755">
        <f>SUM(G59:G62)</f>
        <v>209.92</v>
      </c>
      <c r="I62" s="157"/>
      <c r="J62" s="41"/>
      <c r="K62" s="41"/>
      <c r="L62" s="41"/>
      <c r="M62" s="41"/>
      <c r="N62" s="41"/>
    </row>
    <row r="63" spans="1:14" x14ac:dyDescent="0.25">
      <c r="A63" s="645"/>
      <c r="B63" s="429">
        <v>88309</v>
      </c>
      <c r="C63" s="430" t="s">
        <v>710</v>
      </c>
      <c r="D63" s="739" t="s">
        <v>257</v>
      </c>
      <c r="E63" s="740">
        <f>2*E58</f>
        <v>2</v>
      </c>
      <c r="F63" s="433">
        <v>17.97</v>
      </c>
      <c r="G63" s="741">
        <f t="shared" si="12"/>
        <v>35.94</v>
      </c>
      <c r="H63" s="684"/>
      <c r="I63" s="157"/>
      <c r="J63" s="41"/>
      <c r="K63" s="48"/>
      <c r="L63" s="41"/>
      <c r="M63" s="41"/>
      <c r="N63" s="41"/>
    </row>
    <row r="64" spans="1:14" ht="12" thickBot="1" x14ac:dyDescent="0.3">
      <c r="A64" s="646"/>
      <c r="B64" s="742">
        <v>88316</v>
      </c>
      <c r="C64" s="743" t="s">
        <v>690</v>
      </c>
      <c r="D64" s="744" t="s">
        <v>257</v>
      </c>
      <c r="E64" s="745">
        <f>9.921*E58</f>
        <v>9.9209999999999994</v>
      </c>
      <c r="F64" s="746">
        <v>13.56</v>
      </c>
      <c r="G64" s="747">
        <f t="shared" si="12"/>
        <v>134.53</v>
      </c>
      <c r="H64" s="684"/>
      <c r="I64" s="158"/>
      <c r="J64" s="41"/>
      <c r="K64" s="128"/>
      <c r="L64" s="41"/>
      <c r="M64" s="41"/>
      <c r="N64" s="41"/>
    </row>
    <row r="65" spans="1:14" ht="23.25" thickBot="1" x14ac:dyDescent="0.3">
      <c r="A65" s="644" t="s">
        <v>115</v>
      </c>
      <c r="B65" s="307" t="s">
        <v>392</v>
      </c>
      <c r="C65" s="363" t="s">
        <v>393</v>
      </c>
      <c r="D65" s="43" t="s">
        <v>271</v>
      </c>
      <c r="E65" s="44">
        <v>1</v>
      </c>
      <c r="F65" s="30">
        <f>SUM(G66:G69)/E65</f>
        <v>6.68</v>
      </c>
      <c r="G65" s="45">
        <f>F65*E65</f>
        <v>6.68</v>
      </c>
      <c r="H65" s="677"/>
      <c r="I65" s="576">
        <v>6.68</v>
      </c>
      <c r="J65" s="123"/>
      <c r="K65" s="123"/>
      <c r="L65" s="41"/>
      <c r="M65" s="90"/>
      <c r="N65" s="41"/>
    </row>
    <row r="66" spans="1:14" x14ac:dyDescent="0.25">
      <c r="A66" s="645"/>
      <c r="B66" s="204">
        <v>29</v>
      </c>
      <c r="C66" s="205" t="s">
        <v>712</v>
      </c>
      <c r="D66" s="206" t="s">
        <v>271</v>
      </c>
      <c r="E66" s="225">
        <f>1.133*E65</f>
        <v>1.133</v>
      </c>
      <c r="F66" s="208">
        <v>3.7</v>
      </c>
      <c r="G66" s="210">
        <f>E66*F66</f>
        <v>4.1900000000000004</v>
      </c>
      <c r="H66" s="737" t="s">
        <v>8</v>
      </c>
      <c r="I66" s="662"/>
      <c r="J66" s="41"/>
      <c r="K66" s="41"/>
      <c r="L66" s="41"/>
      <c r="M66" s="41"/>
      <c r="N66" s="41"/>
    </row>
    <row r="67" spans="1:14" x14ac:dyDescent="0.25">
      <c r="A67" s="645"/>
      <c r="B67" s="204">
        <v>337</v>
      </c>
      <c r="C67" s="205" t="s">
        <v>275</v>
      </c>
      <c r="D67" s="206" t="s">
        <v>271</v>
      </c>
      <c r="E67" s="225">
        <f>0.03*E65</f>
        <v>0.03</v>
      </c>
      <c r="F67" s="208">
        <v>7</v>
      </c>
      <c r="G67" s="210">
        <f>E67*F67</f>
        <v>0.21</v>
      </c>
      <c r="H67" s="726">
        <f>I65-H69</f>
        <v>2.2799999999999998</v>
      </c>
      <c r="I67" s="662"/>
      <c r="J67" s="41"/>
      <c r="K67" s="41"/>
      <c r="L67" s="41"/>
      <c r="M67" s="41"/>
      <c r="N67" s="41"/>
    </row>
    <row r="68" spans="1:14" x14ac:dyDescent="0.25">
      <c r="A68" s="645"/>
      <c r="B68" s="429">
        <v>88245</v>
      </c>
      <c r="C68" s="430" t="s">
        <v>705</v>
      </c>
      <c r="D68" s="431" t="s">
        <v>257</v>
      </c>
      <c r="E68" s="740">
        <f>0.07*E65</f>
        <v>7.0000000000000007E-2</v>
      </c>
      <c r="F68" s="433">
        <v>19</v>
      </c>
      <c r="G68" s="434">
        <f>E68*F68</f>
        <v>1.33</v>
      </c>
      <c r="H68" s="754" t="s">
        <v>9</v>
      </c>
      <c r="I68" s="159"/>
      <c r="J68" s="41"/>
      <c r="K68" s="41"/>
      <c r="L68" s="41"/>
      <c r="M68" s="41"/>
      <c r="N68" s="41"/>
    </row>
    <row r="69" spans="1:14" ht="12" thickBot="1" x14ac:dyDescent="0.3">
      <c r="A69" s="646"/>
      <c r="B69" s="465">
        <v>88316</v>
      </c>
      <c r="C69" s="466" t="s">
        <v>690</v>
      </c>
      <c r="D69" s="467" t="s">
        <v>257</v>
      </c>
      <c r="E69" s="748">
        <f>0.07*E65</f>
        <v>7.0000000000000007E-2</v>
      </c>
      <c r="F69" s="729">
        <v>13.56</v>
      </c>
      <c r="G69" s="730">
        <f>E69*F69</f>
        <v>0.95</v>
      </c>
      <c r="H69" s="755">
        <f>G66+G67</f>
        <v>4.4000000000000004</v>
      </c>
      <c r="I69" s="159"/>
      <c r="J69" s="41"/>
      <c r="K69" s="41"/>
      <c r="L69" s="41"/>
      <c r="M69" s="41"/>
      <c r="N69" s="41"/>
    </row>
    <row r="70" spans="1:14" ht="23.25" thickBot="1" x14ac:dyDescent="0.3">
      <c r="A70" s="644" t="s">
        <v>116</v>
      </c>
      <c r="B70" s="305" t="s">
        <v>227</v>
      </c>
      <c r="C70" s="42" t="s">
        <v>228</v>
      </c>
      <c r="D70" s="43" t="s">
        <v>271</v>
      </c>
      <c r="E70" s="44">
        <v>1</v>
      </c>
      <c r="F70" s="30">
        <f>SUM(G71:G74)/E70</f>
        <v>8.01</v>
      </c>
      <c r="G70" s="45">
        <f>F70*E70</f>
        <v>8.01</v>
      </c>
      <c r="H70" s="677"/>
      <c r="I70" s="576">
        <v>8.01</v>
      </c>
      <c r="J70" s="41"/>
      <c r="K70" s="41"/>
      <c r="L70" s="41"/>
      <c r="M70" s="41"/>
      <c r="N70" s="41"/>
    </row>
    <row r="71" spans="1:14" x14ac:dyDescent="0.25">
      <c r="A71" s="645"/>
      <c r="B71" s="313">
        <v>34</v>
      </c>
      <c r="C71" s="314" t="s">
        <v>713</v>
      </c>
      <c r="D71" s="315" t="s">
        <v>271</v>
      </c>
      <c r="E71" s="359">
        <f>1.14*E70</f>
        <v>1.1399999999999999</v>
      </c>
      <c r="F71" s="317">
        <v>3.98</v>
      </c>
      <c r="G71" s="360">
        <f>E71*F71</f>
        <v>4.54</v>
      </c>
      <c r="H71" s="737" t="s">
        <v>8</v>
      </c>
      <c r="I71" s="159"/>
      <c r="J71" s="41"/>
      <c r="K71" s="41"/>
      <c r="L71" s="41"/>
      <c r="M71" s="41"/>
      <c r="N71" s="41"/>
    </row>
    <row r="72" spans="1:14" x14ac:dyDescent="0.25">
      <c r="A72" s="645"/>
      <c r="B72" s="313">
        <v>337</v>
      </c>
      <c r="C72" s="314" t="s">
        <v>275</v>
      </c>
      <c r="D72" s="315" t="s">
        <v>271</v>
      </c>
      <c r="E72" s="359">
        <f>0.03*E70</f>
        <v>0.03</v>
      </c>
      <c r="F72" s="317">
        <v>7</v>
      </c>
      <c r="G72" s="360">
        <f>E72*F72</f>
        <v>0.21</v>
      </c>
      <c r="H72" s="726">
        <f>I70-H74</f>
        <v>3.26</v>
      </c>
      <c r="I72" s="159"/>
      <c r="J72" s="41"/>
      <c r="K72" s="41"/>
      <c r="L72" s="41"/>
      <c r="M72" s="41"/>
      <c r="N72" s="41"/>
    </row>
    <row r="73" spans="1:14" x14ac:dyDescent="0.25">
      <c r="A73" s="645"/>
      <c r="B73" s="429">
        <v>88245</v>
      </c>
      <c r="C73" s="430" t="s">
        <v>705</v>
      </c>
      <c r="D73" s="431" t="s">
        <v>257</v>
      </c>
      <c r="E73" s="740">
        <f>0.1*E70</f>
        <v>0.1</v>
      </c>
      <c r="F73" s="433">
        <v>19</v>
      </c>
      <c r="G73" s="481">
        <f>E73*F73</f>
        <v>1.9</v>
      </c>
      <c r="H73" s="754" t="s">
        <v>9</v>
      </c>
      <c r="I73" s="159"/>
      <c r="J73" s="41"/>
      <c r="K73" s="41"/>
      <c r="L73" s="41"/>
      <c r="M73" s="41"/>
      <c r="N73" s="41"/>
    </row>
    <row r="74" spans="1:14" ht="12" thickBot="1" x14ac:dyDescent="0.3">
      <c r="A74" s="646"/>
      <c r="B74" s="742">
        <v>88316</v>
      </c>
      <c r="C74" s="743" t="s">
        <v>690</v>
      </c>
      <c r="D74" s="749" t="s">
        <v>257</v>
      </c>
      <c r="E74" s="750">
        <f>0.1*E70</f>
        <v>0.1</v>
      </c>
      <c r="F74" s="746">
        <v>13.56</v>
      </c>
      <c r="G74" s="751">
        <f>E74*F74</f>
        <v>1.36</v>
      </c>
      <c r="H74" s="755">
        <f>G71+G72</f>
        <v>4.75</v>
      </c>
      <c r="I74" s="159"/>
      <c r="J74" s="41"/>
      <c r="K74" s="41"/>
      <c r="L74" s="41"/>
      <c r="M74" s="41"/>
      <c r="N74" s="41"/>
    </row>
    <row r="75" spans="1:14" ht="25.5" customHeight="1" thickBot="1" x14ac:dyDescent="0.3">
      <c r="A75" s="839">
        <v>3</v>
      </c>
      <c r="B75" s="840"/>
      <c r="C75" s="822" t="s">
        <v>714</v>
      </c>
      <c r="D75" s="823"/>
      <c r="E75" s="823"/>
      <c r="F75" s="823"/>
      <c r="G75" s="823"/>
      <c r="H75" s="824"/>
      <c r="I75" s="154"/>
      <c r="J75" s="41"/>
      <c r="K75" s="41"/>
      <c r="L75" s="41"/>
      <c r="M75" s="41"/>
      <c r="N75" s="41"/>
    </row>
    <row r="76" spans="1:14" ht="25.5" customHeight="1" thickBot="1" x14ac:dyDescent="0.3">
      <c r="A76" s="583" t="s">
        <v>117</v>
      </c>
      <c r="B76" s="361">
        <v>84214</v>
      </c>
      <c r="C76" s="476" t="s">
        <v>394</v>
      </c>
      <c r="D76" s="84" t="s">
        <v>270</v>
      </c>
      <c r="E76" s="85">
        <v>1</v>
      </c>
      <c r="F76" s="49">
        <f>SUM(G77:G84)/E76</f>
        <v>45.53</v>
      </c>
      <c r="G76" s="334">
        <f>F76*E76</f>
        <v>45.53</v>
      </c>
      <c r="H76" s="678"/>
      <c r="I76" s="575">
        <v>45.53</v>
      </c>
      <c r="J76" s="41"/>
      <c r="K76" s="41"/>
      <c r="L76" s="41"/>
      <c r="M76" s="41"/>
      <c r="N76" s="41"/>
    </row>
    <row r="77" spans="1:14" ht="11.1" customHeight="1" x14ac:dyDescent="0.25">
      <c r="A77" s="583"/>
      <c r="B77" s="621">
        <v>88239</v>
      </c>
      <c r="C77" s="430" t="s">
        <v>704</v>
      </c>
      <c r="D77" s="431" t="s">
        <v>257</v>
      </c>
      <c r="E77" s="371">
        <f>0.28*E76</f>
        <v>0.28000000000000003</v>
      </c>
      <c r="F77" s="433">
        <v>14.19</v>
      </c>
      <c r="G77" s="481">
        <f t="shared" ref="G77:G78" si="13">F77*E77</f>
        <v>3.97</v>
      </c>
      <c r="H77" s="737" t="s">
        <v>8</v>
      </c>
      <c r="I77" s="153"/>
      <c r="J77" s="41"/>
      <c r="K77" s="41"/>
      <c r="L77" s="41"/>
      <c r="M77" s="41"/>
      <c r="N77" s="41"/>
    </row>
    <row r="78" spans="1:14" ht="11.1" customHeight="1" x14ac:dyDescent="0.25">
      <c r="A78" s="583"/>
      <c r="B78" s="621">
        <v>88262</v>
      </c>
      <c r="C78" s="430" t="s">
        <v>689</v>
      </c>
      <c r="D78" s="431" t="s">
        <v>257</v>
      </c>
      <c r="E78" s="371">
        <f>1.111*E76</f>
        <v>1.111</v>
      </c>
      <c r="F78" s="433">
        <v>17.84</v>
      </c>
      <c r="G78" s="434">
        <f t="shared" si="13"/>
        <v>19.82</v>
      </c>
      <c r="H78" s="726">
        <f>I76-H80</f>
        <v>23.79</v>
      </c>
      <c r="I78" s="153"/>
      <c r="J78" s="41"/>
      <c r="K78" s="41"/>
      <c r="L78" s="41"/>
      <c r="M78" s="41"/>
      <c r="N78" s="41"/>
    </row>
    <row r="79" spans="1:14" ht="11.1" customHeight="1" x14ac:dyDescent="0.25">
      <c r="A79" s="583"/>
      <c r="B79" s="291">
        <v>1357</v>
      </c>
      <c r="C79" s="205" t="s">
        <v>283</v>
      </c>
      <c r="D79" s="206" t="s">
        <v>268</v>
      </c>
      <c r="E79" s="207">
        <f>0.2495*E76</f>
        <v>0.2495</v>
      </c>
      <c r="F79" s="208">
        <v>41.71</v>
      </c>
      <c r="G79" s="209">
        <f t="shared" ref="G79:G80" si="14">F79*E79</f>
        <v>10.41</v>
      </c>
      <c r="H79" s="754" t="s">
        <v>9</v>
      </c>
      <c r="I79" s="153"/>
      <c r="J79" s="41"/>
      <c r="K79" s="41"/>
      <c r="L79" s="41"/>
      <c r="M79" s="41"/>
      <c r="N79" s="41"/>
    </row>
    <row r="80" spans="1:14" ht="11.1" customHeight="1" thickBot="1" x14ac:dyDescent="0.3">
      <c r="A80" s="583"/>
      <c r="B80" s="291">
        <v>2692</v>
      </c>
      <c r="C80" s="205" t="s">
        <v>715</v>
      </c>
      <c r="D80" s="206" t="s">
        <v>529</v>
      </c>
      <c r="E80" s="207">
        <f>0.006*E76</f>
        <v>6.0000000000000001E-3</v>
      </c>
      <c r="F80" s="208">
        <v>9.16</v>
      </c>
      <c r="G80" s="209">
        <f t="shared" si="14"/>
        <v>0.05</v>
      </c>
      <c r="H80" s="755">
        <f>SUM(G79:G84)</f>
        <v>21.74</v>
      </c>
      <c r="I80" s="153"/>
      <c r="J80" s="41"/>
      <c r="K80" s="41"/>
      <c r="L80" s="41"/>
      <c r="M80" s="41"/>
      <c r="N80" s="41"/>
    </row>
    <row r="81" spans="1:14" ht="11.1" customHeight="1" x14ac:dyDescent="0.25">
      <c r="A81" s="583"/>
      <c r="B81" s="291">
        <v>4491</v>
      </c>
      <c r="C81" s="205" t="s">
        <v>287</v>
      </c>
      <c r="D81" s="206" t="s">
        <v>232</v>
      </c>
      <c r="E81" s="207">
        <f>1.49*E76</f>
        <v>1.49</v>
      </c>
      <c r="F81" s="208">
        <v>2.61</v>
      </c>
      <c r="G81" s="209">
        <f>F81*E81</f>
        <v>3.89</v>
      </c>
      <c r="H81" s="685"/>
      <c r="I81" s="153"/>
      <c r="J81" s="41"/>
      <c r="K81" s="41"/>
      <c r="L81" s="41"/>
      <c r="M81" s="41"/>
      <c r="N81" s="41"/>
    </row>
    <row r="82" spans="1:14" ht="11.1" customHeight="1" x14ac:dyDescent="0.25">
      <c r="A82" s="583"/>
      <c r="B82" s="291">
        <v>4506</v>
      </c>
      <c r="C82" s="205" t="s">
        <v>716</v>
      </c>
      <c r="D82" s="206" t="s">
        <v>232</v>
      </c>
      <c r="E82" s="207">
        <f>0.78*E76</f>
        <v>0.78</v>
      </c>
      <c r="F82" s="208">
        <v>1.62</v>
      </c>
      <c r="G82" s="210">
        <f t="shared" ref="G82:G89" si="15">F82*E82</f>
        <v>1.26</v>
      </c>
      <c r="H82" s="678"/>
      <c r="I82" s="153"/>
      <c r="J82" s="41"/>
      <c r="K82" s="41"/>
      <c r="L82" s="41"/>
      <c r="M82" s="41"/>
      <c r="N82" s="41"/>
    </row>
    <row r="83" spans="1:14" ht="11.1" customHeight="1" x14ac:dyDescent="0.25">
      <c r="A83" s="583"/>
      <c r="B83" s="291">
        <v>5068</v>
      </c>
      <c r="C83" s="205" t="s">
        <v>530</v>
      </c>
      <c r="D83" s="206" t="s">
        <v>271</v>
      </c>
      <c r="E83" s="207">
        <f>0.28*E76</f>
        <v>0.28000000000000003</v>
      </c>
      <c r="F83" s="208">
        <v>7.62</v>
      </c>
      <c r="G83" s="210">
        <f t="shared" si="15"/>
        <v>2.13</v>
      </c>
      <c r="H83" s="678"/>
      <c r="I83" s="153"/>
      <c r="J83" s="41"/>
      <c r="K83" s="41"/>
      <c r="L83" s="41"/>
      <c r="M83" s="41"/>
      <c r="N83" s="41"/>
    </row>
    <row r="84" spans="1:14" ht="11.1" customHeight="1" thickBot="1" x14ac:dyDescent="0.3">
      <c r="A84" s="584"/>
      <c r="B84" s="291">
        <v>6189</v>
      </c>
      <c r="C84" s="205" t="s">
        <v>531</v>
      </c>
      <c r="D84" s="206" t="s">
        <v>232</v>
      </c>
      <c r="E84" s="207">
        <f>0.44*E76</f>
        <v>0.44</v>
      </c>
      <c r="F84" s="208">
        <v>9.08</v>
      </c>
      <c r="G84" s="210">
        <f t="shared" si="15"/>
        <v>4</v>
      </c>
      <c r="H84" s="678"/>
      <c r="I84" s="153"/>
      <c r="J84" s="41"/>
      <c r="K84" s="41"/>
      <c r="L84" s="41"/>
      <c r="M84" s="41"/>
      <c r="N84" s="41"/>
    </row>
    <row r="85" spans="1:14" ht="23.25" thickBot="1" x14ac:dyDescent="0.3">
      <c r="A85" s="644" t="s">
        <v>118</v>
      </c>
      <c r="B85" s="305" t="s">
        <v>220</v>
      </c>
      <c r="C85" s="42" t="s">
        <v>221</v>
      </c>
      <c r="D85" s="43" t="s">
        <v>271</v>
      </c>
      <c r="E85" s="44">
        <v>1</v>
      </c>
      <c r="F85" s="30">
        <f>SUM(G86:G89)/E85</f>
        <v>7.72</v>
      </c>
      <c r="G85" s="45">
        <f t="shared" si="15"/>
        <v>7.72</v>
      </c>
      <c r="H85" s="686"/>
      <c r="I85" s="152"/>
      <c r="J85" s="41"/>
      <c r="K85" s="41"/>
      <c r="L85" s="41"/>
      <c r="M85" s="41"/>
      <c r="N85" s="41"/>
    </row>
    <row r="86" spans="1:14" ht="12" thickBot="1" x14ac:dyDescent="0.3">
      <c r="A86" s="645"/>
      <c r="B86" s="204">
        <v>39</v>
      </c>
      <c r="C86" s="205" t="s">
        <v>289</v>
      </c>
      <c r="D86" s="206" t="s">
        <v>271</v>
      </c>
      <c r="E86" s="320">
        <f>1.1*E85</f>
        <v>1.1000000000000001</v>
      </c>
      <c r="F86" s="208">
        <v>3.93</v>
      </c>
      <c r="G86" s="210">
        <f t="shared" si="15"/>
        <v>4.32</v>
      </c>
      <c r="H86" s="51" t="s">
        <v>8</v>
      </c>
      <c r="I86" s="576">
        <f>7.72</f>
        <v>7.72</v>
      </c>
    </row>
    <row r="87" spans="1:14" x14ac:dyDescent="0.25">
      <c r="A87" s="645"/>
      <c r="B87" s="204">
        <v>337</v>
      </c>
      <c r="C87" s="205" t="s">
        <v>275</v>
      </c>
      <c r="D87" s="206" t="s">
        <v>271</v>
      </c>
      <c r="E87" s="320">
        <f>0.02*E85</f>
        <v>0.02</v>
      </c>
      <c r="F87" s="208">
        <v>7</v>
      </c>
      <c r="G87" s="210">
        <f t="shared" si="15"/>
        <v>0.14000000000000001</v>
      </c>
      <c r="H87" s="217">
        <f>I86-H89</f>
        <v>3.26</v>
      </c>
      <c r="I87" s="153"/>
    </row>
    <row r="88" spans="1:14" x14ac:dyDescent="0.25">
      <c r="A88" s="645"/>
      <c r="B88" s="32">
        <v>88245</v>
      </c>
      <c r="C88" s="13" t="s">
        <v>705</v>
      </c>
      <c r="D88" s="14" t="s">
        <v>257</v>
      </c>
      <c r="E88" s="46">
        <f>0.1*E85</f>
        <v>0.1</v>
      </c>
      <c r="F88" s="15">
        <v>19</v>
      </c>
      <c r="G88" s="33">
        <f t="shared" si="15"/>
        <v>1.9</v>
      </c>
      <c r="H88" s="752" t="s">
        <v>9</v>
      </c>
      <c r="I88" s="153"/>
    </row>
    <row r="89" spans="1:14" ht="12" thickBot="1" x14ac:dyDescent="0.3">
      <c r="A89" s="646"/>
      <c r="B89" s="34">
        <v>88316</v>
      </c>
      <c r="C89" s="35" t="s">
        <v>690</v>
      </c>
      <c r="D89" s="36" t="s">
        <v>257</v>
      </c>
      <c r="E89" s="47">
        <f>0.1*E85</f>
        <v>0.1</v>
      </c>
      <c r="F89" s="38">
        <v>13.56</v>
      </c>
      <c r="G89" s="39">
        <f t="shared" si="15"/>
        <v>1.36</v>
      </c>
      <c r="H89" s="756">
        <f>G86+G87</f>
        <v>4.46</v>
      </c>
      <c r="I89" s="153"/>
    </row>
    <row r="90" spans="1:14" ht="23.25" thickBot="1" x14ac:dyDescent="0.3">
      <c r="A90" s="644" t="s">
        <v>119</v>
      </c>
      <c r="B90" s="307" t="s">
        <v>390</v>
      </c>
      <c r="C90" s="27" t="s">
        <v>391</v>
      </c>
      <c r="D90" s="43" t="s">
        <v>272</v>
      </c>
      <c r="E90" s="53">
        <v>1</v>
      </c>
      <c r="F90" s="57">
        <f>SUM(G91:G96)/E90</f>
        <v>365.91</v>
      </c>
      <c r="G90" s="65">
        <f>F90*E90</f>
        <v>365.91</v>
      </c>
      <c r="H90" s="687"/>
      <c r="I90" s="362"/>
      <c r="J90" s="19"/>
      <c r="K90" s="19"/>
    </row>
    <row r="91" spans="1:14" ht="34.5" thickBot="1" x14ac:dyDescent="0.3">
      <c r="A91" s="645"/>
      <c r="B91" s="204">
        <v>1525</v>
      </c>
      <c r="C91" s="205" t="s">
        <v>708</v>
      </c>
      <c r="D91" s="206" t="s">
        <v>33</v>
      </c>
      <c r="E91" s="321">
        <f>1.05*E90</f>
        <v>1.05</v>
      </c>
      <c r="F91" s="208">
        <v>296.23</v>
      </c>
      <c r="G91" s="210">
        <f>F91*E91</f>
        <v>311.04000000000002</v>
      </c>
      <c r="H91" s="58" t="s">
        <v>8</v>
      </c>
      <c r="I91" s="576">
        <v>365.91</v>
      </c>
      <c r="J91" s="20"/>
      <c r="K91" s="20"/>
    </row>
    <row r="92" spans="1:14" ht="22.5" x14ac:dyDescent="0.25">
      <c r="A92" s="645"/>
      <c r="B92" s="204">
        <v>10485</v>
      </c>
      <c r="C92" s="205" t="s">
        <v>709</v>
      </c>
      <c r="D92" s="206" t="s">
        <v>257</v>
      </c>
      <c r="E92" s="321">
        <f>0.3*E90</f>
        <v>0.3</v>
      </c>
      <c r="F92" s="208">
        <v>0.97</v>
      </c>
      <c r="G92" s="210">
        <f t="shared" ref="G92" si="16">F92*E92</f>
        <v>0.28999999999999998</v>
      </c>
      <c r="H92" s="220">
        <f>I91-H94</f>
        <v>54.58</v>
      </c>
      <c r="I92" s="154"/>
      <c r="J92" s="20"/>
      <c r="K92" s="20"/>
    </row>
    <row r="93" spans="1:14" ht="12.75" x14ac:dyDescent="0.25">
      <c r="A93" s="645"/>
      <c r="B93" s="429">
        <v>88245</v>
      </c>
      <c r="C93" s="430" t="s">
        <v>705</v>
      </c>
      <c r="D93" s="431" t="s">
        <v>257</v>
      </c>
      <c r="E93" s="757">
        <f>0.6*E90</f>
        <v>0.6</v>
      </c>
      <c r="F93" s="433">
        <v>19</v>
      </c>
      <c r="G93" s="434">
        <f>F93*E93</f>
        <v>11.4</v>
      </c>
      <c r="H93" s="754" t="s">
        <v>9</v>
      </c>
      <c r="I93" s="154"/>
      <c r="J93" s="20"/>
      <c r="K93" s="20"/>
    </row>
    <row r="94" spans="1:14" ht="23.25" customHeight="1" thickBot="1" x14ac:dyDescent="0.3">
      <c r="A94" s="645"/>
      <c r="B94" s="429">
        <v>88262</v>
      </c>
      <c r="C94" s="430" t="s">
        <v>689</v>
      </c>
      <c r="D94" s="431" t="s">
        <v>257</v>
      </c>
      <c r="E94" s="757">
        <f>0.6*E90</f>
        <v>0.6</v>
      </c>
      <c r="F94" s="433">
        <v>17.84</v>
      </c>
      <c r="G94" s="434">
        <f t="shared" ref="G94:G96" si="17">F94*E94</f>
        <v>10.7</v>
      </c>
      <c r="H94" s="755">
        <f>G91+G92</f>
        <v>311.33</v>
      </c>
      <c r="I94" s="154"/>
      <c r="J94" s="20"/>
      <c r="K94" s="20"/>
    </row>
    <row r="95" spans="1:14" ht="12.75" x14ac:dyDescent="0.25">
      <c r="A95" s="645"/>
      <c r="B95" s="429">
        <v>88309</v>
      </c>
      <c r="C95" s="430" t="s">
        <v>710</v>
      </c>
      <c r="D95" s="431" t="s">
        <v>257</v>
      </c>
      <c r="E95" s="757">
        <f>0.6*E90</f>
        <v>0.6</v>
      </c>
      <c r="F95" s="433">
        <v>17.97</v>
      </c>
      <c r="G95" s="434">
        <f t="shared" si="17"/>
        <v>10.78</v>
      </c>
      <c r="H95" s="678"/>
      <c r="I95" s="154"/>
      <c r="J95" s="20"/>
      <c r="K95" s="20"/>
    </row>
    <row r="96" spans="1:14" ht="12.75" x14ac:dyDescent="0.25">
      <c r="A96" s="645"/>
      <c r="B96" s="429">
        <v>88316</v>
      </c>
      <c r="C96" s="430" t="s">
        <v>690</v>
      </c>
      <c r="D96" s="431" t="s">
        <v>257</v>
      </c>
      <c r="E96" s="757">
        <f>1.6*E90</f>
        <v>1.6</v>
      </c>
      <c r="F96" s="433">
        <v>13.56</v>
      </c>
      <c r="G96" s="434">
        <f t="shared" si="17"/>
        <v>21.7</v>
      </c>
      <c r="H96" s="678"/>
      <c r="I96" s="154"/>
      <c r="J96" s="20"/>
      <c r="K96" s="20"/>
    </row>
    <row r="97" spans="1:13" ht="23.25" thickBot="1" x14ac:dyDescent="0.3">
      <c r="A97" s="646"/>
      <c r="B97" s="465">
        <v>10533</v>
      </c>
      <c r="C97" s="466" t="s">
        <v>293</v>
      </c>
      <c r="D97" s="467" t="s">
        <v>257</v>
      </c>
      <c r="E97" s="758">
        <f>1.8401*E90</f>
        <v>1.8401000000000001</v>
      </c>
      <c r="F97" s="729">
        <v>4.63</v>
      </c>
      <c r="G97" s="730">
        <f t="shared" ref="G97" si="18">E97*F97</f>
        <v>8.52</v>
      </c>
      <c r="H97" s="577"/>
      <c r="I97" s="462"/>
      <c r="J97" s="20"/>
      <c r="K97" s="20"/>
    </row>
    <row r="98" spans="1:13" ht="23.25" thickBot="1" x14ac:dyDescent="0.3">
      <c r="A98" s="644" t="s">
        <v>120</v>
      </c>
      <c r="B98" s="307" t="s">
        <v>392</v>
      </c>
      <c r="C98" s="170" t="s">
        <v>393</v>
      </c>
      <c r="D98" s="43" t="s">
        <v>271</v>
      </c>
      <c r="E98" s="44">
        <v>1</v>
      </c>
      <c r="F98" s="30">
        <f>SUM(G99:G102)/E98</f>
        <v>6.68</v>
      </c>
      <c r="G98" s="45">
        <f>F98*E98</f>
        <v>6.68</v>
      </c>
      <c r="H98" s="677"/>
      <c r="I98" s="576">
        <v>6.68</v>
      </c>
      <c r="M98" s="83"/>
    </row>
    <row r="99" spans="1:13" x14ac:dyDescent="0.25">
      <c r="A99" s="645"/>
      <c r="B99" s="204">
        <v>29</v>
      </c>
      <c r="C99" s="205" t="s">
        <v>712</v>
      </c>
      <c r="D99" s="206" t="s">
        <v>271</v>
      </c>
      <c r="E99" s="225">
        <f>1.133*E98</f>
        <v>1.133</v>
      </c>
      <c r="F99" s="208">
        <v>3.7</v>
      </c>
      <c r="G99" s="209">
        <f>E99*F99</f>
        <v>4.1900000000000004</v>
      </c>
      <c r="H99" s="737" t="s">
        <v>8</v>
      </c>
      <c r="I99" s="662"/>
    </row>
    <row r="100" spans="1:13" x14ac:dyDescent="0.25">
      <c r="A100" s="645"/>
      <c r="B100" s="204">
        <v>337</v>
      </c>
      <c r="C100" s="205" t="s">
        <v>275</v>
      </c>
      <c r="D100" s="206" t="s">
        <v>271</v>
      </c>
      <c r="E100" s="225">
        <f>0.03*E98</f>
        <v>0.03</v>
      </c>
      <c r="F100" s="208">
        <v>7</v>
      </c>
      <c r="G100" s="209">
        <f>E100*F100</f>
        <v>0.21</v>
      </c>
      <c r="H100" s="726">
        <f>I98-H102</f>
        <v>2.2799999999999998</v>
      </c>
      <c r="I100" s="662"/>
    </row>
    <row r="101" spans="1:13" x14ac:dyDescent="0.25">
      <c r="A101" s="645"/>
      <c r="B101" s="429">
        <v>88245</v>
      </c>
      <c r="C101" s="430" t="s">
        <v>705</v>
      </c>
      <c r="D101" s="431" t="s">
        <v>257</v>
      </c>
      <c r="E101" s="740">
        <f>0.07*E98</f>
        <v>7.0000000000000007E-2</v>
      </c>
      <c r="F101" s="433">
        <v>19</v>
      </c>
      <c r="G101" s="481">
        <f>E101*F101</f>
        <v>1.33</v>
      </c>
      <c r="H101" s="754" t="s">
        <v>9</v>
      </c>
      <c r="I101" s="159"/>
    </row>
    <row r="102" spans="1:13" ht="12" thickBot="1" x14ac:dyDescent="0.3">
      <c r="A102" s="646"/>
      <c r="B102" s="465">
        <v>88316</v>
      </c>
      <c r="C102" s="466" t="s">
        <v>690</v>
      </c>
      <c r="D102" s="467" t="s">
        <v>257</v>
      </c>
      <c r="E102" s="748">
        <f>0.07*E98</f>
        <v>7.0000000000000007E-2</v>
      </c>
      <c r="F102" s="729">
        <v>13.56</v>
      </c>
      <c r="G102" s="759">
        <f>E102*F102</f>
        <v>0.95</v>
      </c>
      <c r="H102" s="755">
        <f>G99+G100</f>
        <v>4.4000000000000004</v>
      </c>
      <c r="I102" s="159"/>
    </row>
    <row r="103" spans="1:13" ht="23.25" thickBot="1" x14ac:dyDescent="0.3">
      <c r="A103" s="644" t="s">
        <v>121</v>
      </c>
      <c r="B103" s="305" t="s">
        <v>227</v>
      </c>
      <c r="C103" s="42" t="s">
        <v>228</v>
      </c>
      <c r="D103" s="43" t="s">
        <v>271</v>
      </c>
      <c r="E103" s="44">
        <v>1</v>
      </c>
      <c r="F103" s="30">
        <f>SUM(G104:G107)/E103</f>
        <v>8.01</v>
      </c>
      <c r="G103" s="45">
        <f>F103*E103</f>
        <v>8.01</v>
      </c>
      <c r="H103" s="677"/>
      <c r="I103" s="576">
        <v>8.01</v>
      </c>
      <c r="J103" s="81"/>
      <c r="M103" s="82"/>
    </row>
    <row r="104" spans="1:13" x14ac:dyDescent="0.25">
      <c r="A104" s="645"/>
      <c r="B104" s="313">
        <v>34</v>
      </c>
      <c r="C104" s="314" t="s">
        <v>713</v>
      </c>
      <c r="D104" s="315" t="s">
        <v>271</v>
      </c>
      <c r="E104" s="359">
        <f>1.14*E103</f>
        <v>1.1399999999999999</v>
      </c>
      <c r="F104" s="317">
        <v>3.98</v>
      </c>
      <c r="G104" s="360">
        <f>E104*F104</f>
        <v>4.54</v>
      </c>
      <c r="H104" s="58" t="s">
        <v>8</v>
      </c>
      <c r="I104" s="159"/>
    </row>
    <row r="105" spans="1:13" x14ac:dyDescent="0.25">
      <c r="A105" s="645"/>
      <c r="B105" s="313">
        <v>337</v>
      </c>
      <c r="C105" s="314" t="s">
        <v>275</v>
      </c>
      <c r="D105" s="315" t="s">
        <v>271</v>
      </c>
      <c r="E105" s="359">
        <f>0.03*E103</f>
        <v>0.03</v>
      </c>
      <c r="F105" s="317">
        <v>7</v>
      </c>
      <c r="G105" s="360">
        <f>E105*F105</f>
        <v>0.21</v>
      </c>
      <c r="H105" s="220">
        <f>I103-H107</f>
        <v>3.26</v>
      </c>
      <c r="I105" s="159"/>
    </row>
    <row r="106" spans="1:13" x14ac:dyDescent="0.25">
      <c r="A106" s="645"/>
      <c r="B106" s="429">
        <v>88245</v>
      </c>
      <c r="C106" s="430" t="s">
        <v>705</v>
      </c>
      <c r="D106" s="431" t="s">
        <v>257</v>
      </c>
      <c r="E106" s="740">
        <f>0.1*E103</f>
        <v>0.1</v>
      </c>
      <c r="F106" s="433">
        <v>19</v>
      </c>
      <c r="G106" s="481">
        <f>E106*F106</f>
        <v>1.9</v>
      </c>
      <c r="H106" s="754" t="s">
        <v>9</v>
      </c>
      <c r="I106" s="159"/>
    </row>
    <row r="107" spans="1:13" ht="12" thickBot="1" x14ac:dyDescent="0.3">
      <c r="A107" s="646"/>
      <c r="B107" s="465">
        <v>88316</v>
      </c>
      <c r="C107" s="466" t="s">
        <v>690</v>
      </c>
      <c r="D107" s="467" t="s">
        <v>257</v>
      </c>
      <c r="E107" s="748">
        <f>0.1*E103</f>
        <v>0.1</v>
      </c>
      <c r="F107" s="729">
        <v>13.56</v>
      </c>
      <c r="G107" s="759">
        <f>E107*F107</f>
        <v>1.36</v>
      </c>
      <c r="H107" s="755">
        <f>G104+G105</f>
        <v>4.75</v>
      </c>
      <c r="I107" s="159"/>
    </row>
    <row r="108" spans="1:13" ht="39.75" customHeight="1" thickBot="1" x14ac:dyDescent="0.3">
      <c r="A108" s="644" t="s">
        <v>122</v>
      </c>
      <c r="B108" s="307" t="s">
        <v>532</v>
      </c>
      <c r="C108" s="600" t="s">
        <v>533</v>
      </c>
      <c r="D108" s="28" t="s">
        <v>270</v>
      </c>
      <c r="E108" s="148">
        <v>1</v>
      </c>
      <c r="F108" s="30">
        <f>SUM(G109:G117)/E108</f>
        <v>76.400000000000006</v>
      </c>
      <c r="G108" s="31">
        <f t="shared" ref="G108:G117" si="19">F108*E108</f>
        <v>76.400000000000006</v>
      </c>
      <c r="H108" s="688"/>
      <c r="I108" s="576">
        <v>76.400000000000006</v>
      </c>
      <c r="M108" s="82"/>
    </row>
    <row r="109" spans="1:13" ht="24" customHeight="1" x14ac:dyDescent="0.25">
      <c r="A109" s="645"/>
      <c r="B109" s="429">
        <v>88262</v>
      </c>
      <c r="C109" s="430" t="s">
        <v>689</v>
      </c>
      <c r="D109" s="760" t="s">
        <v>11</v>
      </c>
      <c r="E109" s="761">
        <f>E108*0.188</f>
        <v>0.188</v>
      </c>
      <c r="F109" s="433">
        <v>17.84</v>
      </c>
      <c r="G109" s="481">
        <f t="shared" si="19"/>
        <v>3.35</v>
      </c>
      <c r="H109" s="737" t="s">
        <v>8</v>
      </c>
      <c r="I109" s="153"/>
    </row>
    <row r="110" spans="1:13" ht="15" customHeight="1" x14ac:dyDescent="0.25">
      <c r="A110" s="645"/>
      <c r="B110" s="429">
        <v>88309</v>
      </c>
      <c r="C110" s="430" t="s">
        <v>710</v>
      </c>
      <c r="D110" s="760" t="s">
        <v>11</v>
      </c>
      <c r="E110" s="761">
        <f>E108*0.35</f>
        <v>0.35</v>
      </c>
      <c r="F110" s="433">
        <v>17.97</v>
      </c>
      <c r="G110" s="481">
        <f t="shared" si="19"/>
        <v>6.29</v>
      </c>
      <c r="H110" s="726">
        <f>I108-H112</f>
        <v>21.17</v>
      </c>
      <c r="I110" s="153"/>
    </row>
    <row r="111" spans="1:13" ht="15" customHeight="1" x14ac:dyDescent="0.25">
      <c r="A111" s="645"/>
      <c r="B111" s="762">
        <v>88316</v>
      </c>
      <c r="C111" s="430" t="s">
        <v>690</v>
      </c>
      <c r="D111" s="760" t="s">
        <v>11</v>
      </c>
      <c r="E111" s="761">
        <f>E108*0.85</f>
        <v>0.85</v>
      </c>
      <c r="F111" s="433">
        <v>13.56</v>
      </c>
      <c r="G111" s="481">
        <f t="shared" si="19"/>
        <v>11.53</v>
      </c>
      <c r="H111" s="754" t="s">
        <v>9</v>
      </c>
      <c r="I111" s="153"/>
    </row>
    <row r="112" spans="1:13" ht="24" customHeight="1" thickBot="1" x14ac:dyDescent="0.3">
      <c r="A112" s="645"/>
      <c r="B112" s="204">
        <v>6045</v>
      </c>
      <c r="C112" s="232" t="s">
        <v>721</v>
      </c>
      <c r="D112" s="230" t="s">
        <v>12</v>
      </c>
      <c r="E112" s="231">
        <f>E108*0.045</f>
        <v>4.4999999999999998E-2</v>
      </c>
      <c r="F112" s="208">
        <v>362.32</v>
      </c>
      <c r="G112" s="210">
        <f t="shared" si="19"/>
        <v>16.3</v>
      </c>
      <c r="H112" s="755">
        <f>SUM(G112:G117)</f>
        <v>55.23</v>
      </c>
      <c r="I112" s="153"/>
    </row>
    <row r="113" spans="1:9" ht="24" customHeight="1" x14ac:dyDescent="0.25">
      <c r="A113" s="645"/>
      <c r="B113" s="204" t="s">
        <v>10</v>
      </c>
      <c r="C113" s="232" t="s">
        <v>722</v>
      </c>
      <c r="D113" s="230" t="s">
        <v>12</v>
      </c>
      <c r="E113" s="231">
        <f>E108*0.045</f>
        <v>4.4999999999999998E-2</v>
      </c>
      <c r="F113" s="208">
        <v>90.74</v>
      </c>
      <c r="G113" s="210">
        <f t="shared" si="19"/>
        <v>4.08</v>
      </c>
      <c r="H113" s="688"/>
      <c r="I113" s="153"/>
    </row>
    <row r="114" spans="1:9" ht="24.75" customHeight="1" x14ac:dyDescent="0.25">
      <c r="A114" s="645"/>
      <c r="B114" s="204">
        <v>3747</v>
      </c>
      <c r="C114" s="232" t="s">
        <v>717</v>
      </c>
      <c r="D114" s="230" t="s">
        <v>14</v>
      </c>
      <c r="E114" s="231">
        <f>E108*1</f>
        <v>1</v>
      </c>
      <c r="F114" s="208">
        <v>29.12</v>
      </c>
      <c r="G114" s="210">
        <f t="shared" si="19"/>
        <v>29.12</v>
      </c>
      <c r="H114" s="688"/>
      <c r="I114" s="153"/>
    </row>
    <row r="115" spans="1:9" ht="22.5" customHeight="1" x14ac:dyDescent="0.25">
      <c r="A115" s="645"/>
      <c r="B115" s="233">
        <v>4491</v>
      </c>
      <c r="C115" s="234" t="s">
        <v>718</v>
      </c>
      <c r="D115" s="230" t="s">
        <v>15</v>
      </c>
      <c r="E115" s="231">
        <f>1.1*E108</f>
        <v>1.1000000000000001</v>
      </c>
      <c r="F115" s="208">
        <v>2.61</v>
      </c>
      <c r="G115" s="210">
        <f>F115*E115</f>
        <v>2.87</v>
      </c>
      <c r="H115" s="688"/>
      <c r="I115" s="153"/>
    </row>
    <row r="116" spans="1:9" ht="15" customHeight="1" x14ac:dyDescent="0.25">
      <c r="A116" s="645"/>
      <c r="B116" s="204">
        <v>5075</v>
      </c>
      <c r="C116" s="229" t="s">
        <v>719</v>
      </c>
      <c r="D116" s="230" t="s">
        <v>13</v>
      </c>
      <c r="E116" s="231">
        <f>E108*0.02</f>
        <v>0.02</v>
      </c>
      <c r="F116" s="208">
        <v>7.21</v>
      </c>
      <c r="G116" s="210">
        <f t="shared" si="19"/>
        <v>0.14000000000000001</v>
      </c>
      <c r="H116" s="688"/>
      <c r="I116" s="153"/>
    </row>
    <row r="117" spans="1:9" ht="22.5" customHeight="1" thickBot="1" x14ac:dyDescent="0.3">
      <c r="A117" s="646"/>
      <c r="B117" s="242">
        <v>6189</v>
      </c>
      <c r="C117" s="243" t="s">
        <v>720</v>
      </c>
      <c r="D117" s="364" t="s">
        <v>15</v>
      </c>
      <c r="E117" s="365">
        <f>E108*0.3</f>
        <v>0.3</v>
      </c>
      <c r="F117" s="246">
        <v>9.08</v>
      </c>
      <c r="G117" s="247">
        <f t="shared" si="19"/>
        <v>2.72</v>
      </c>
      <c r="H117" s="688"/>
      <c r="I117" s="153"/>
    </row>
    <row r="118" spans="1:9" ht="37.5" customHeight="1" thickBot="1" x14ac:dyDescent="0.3">
      <c r="A118" s="582" t="s">
        <v>385</v>
      </c>
      <c r="B118" s="307" t="s">
        <v>534</v>
      </c>
      <c r="C118" s="116" t="s">
        <v>535</v>
      </c>
      <c r="D118" s="28" t="s">
        <v>270</v>
      </c>
      <c r="E118" s="148">
        <v>1</v>
      </c>
      <c r="F118" s="30">
        <f>SUM(G119:G127)/E118</f>
        <v>86.14</v>
      </c>
      <c r="G118" s="31">
        <f t="shared" ref="G118:G124" si="20">F118*E118</f>
        <v>86.14</v>
      </c>
      <c r="H118" s="688"/>
      <c r="I118" s="575">
        <v>86.14</v>
      </c>
    </row>
    <row r="119" spans="1:9" ht="23.25" customHeight="1" x14ac:dyDescent="0.25">
      <c r="A119" s="583"/>
      <c r="B119" s="429">
        <v>88262</v>
      </c>
      <c r="C119" s="430" t="s">
        <v>689</v>
      </c>
      <c r="D119" s="760" t="s">
        <v>11</v>
      </c>
      <c r="E119" s="761">
        <f>E118*0.248</f>
        <v>0.248</v>
      </c>
      <c r="F119" s="433">
        <v>17.84</v>
      </c>
      <c r="G119" s="434">
        <f t="shared" si="20"/>
        <v>4.42</v>
      </c>
      <c r="H119" s="737" t="s">
        <v>8</v>
      </c>
      <c r="I119" s="153"/>
    </row>
    <row r="120" spans="1:9" ht="15" customHeight="1" x14ac:dyDescent="0.25">
      <c r="A120" s="583"/>
      <c r="B120" s="429">
        <v>88309</v>
      </c>
      <c r="C120" s="430" t="s">
        <v>710</v>
      </c>
      <c r="D120" s="760" t="s">
        <v>11</v>
      </c>
      <c r="E120" s="761">
        <f>E118*0.4</f>
        <v>0.4</v>
      </c>
      <c r="F120" s="433">
        <v>17.97</v>
      </c>
      <c r="G120" s="434">
        <f t="shared" si="20"/>
        <v>7.19</v>
      </c>
      <c r="H120" s="726">
        <f>I118-H122</f>
        <v>23.81</v>
      </c>
      <c r="I120" s="153"/>
    </row>
    <row r="121" spans="1:9" ht="15" customHeight="1" x14ac:dyDescent="0.25">
      <c r="A121" s="583"/>
      <c r="B121" s="762">
        <v>88316</v>
      </c>
      <c r="C121" s="430" t="s">
        <v>690</v>
      </c>
      <c r="D121" s="760" t="s">
        <v>11</v>
      </c>
      <c r="E121" s="761">
        <f>E118*0.9</f>
        <v>0.9</v>
      </c>
      <c r="F121" s="433">
        <v>13.56</v>
      </c>
      <c r="G121" s="434">
        <f t="shared" si="20"/>
        <v>12.2</v>
      </c>
      <c r="H121" s="754" t="s">
        <v>9</v>
      </c>
      <c r="I121" s="153"/>
    </row>
    <row r="122" spans="1:9" ht="15" customHeight="1" thickBot="1" x14ac:dyDescent="0.3">
      <c r="A122" s="583"/>
      <c r="B122" s="204">
        <v>6045</v>
      </c>
      <c r="C122" s="232" t="s">
        <v>721</v>
      </c>
      <c r="D122" s="230" t="s">
        <v>12</v>
      </c>
      <c r="E122" s="231">
        <f>E118*0.055</f>
        <v>5.5E-2</v>
      </c>
      <c r="F122" s="208">
        <v>362.32</v>
      </c>
      <c r="G122" s="210">
        <f t="shared" si="20"/>
        <v>19.93</v>
      </c>
      <c r="H122" s="755">
        <f>SUM(G122:G127)</f>
        <v>62.33</v>
      </c>
      <c r="I122" s="153"/>
    </row>
    <row r="123" spans="1:9" ht="15" customHeight="1" x14ac:dyDescent="0.25">
      <c r="A123" s="583"/>
      <c r="B123" s="204" t="s">
        <v>10</v>
      </c>
      <c r="C123" s="232" t="s">
        <v>722</v>
      </c>
      <c r="D123" s="230" t="s">
        <v>12</v>
      </c>
      <c r="E123" s="231">
        <f>E118*0.055</f>
        <v>5.5E-2</v>
      </c>
      <c r="F123" s="208">
        <v>90.74</v>
      </c>
      <c r="G123" s="210">
        <f t="shared" si="20"/>
        <v>4.99</v>
      </c>
      <c r="H123" s="688"/>
      <c r="I123" s="153"/>
    </row>
    <row r="124" spans="1:9" ht="15" customHeight="1" x14ac:dyDescent="0.25">
      <c r="A124" s="583"/>
      <c r="B124" s="204">
        <v>3747</v>
      </c>
      <c r="C124" s="232" t="s">
        <v>717</v>
      </c>
      <c r="D124" s="230" t="s">
        <v>14</v>
      </c>
      <c r="E124" s="231">
        <f>E118*1</f>
        <v>1</v>
      </c>
      <c r="F124" s="208">
        <v>31.68</v>
      </c>
      <c r="G124" s="210">
        <f t="shared" si="20"/>
        <v>31.68</v>
      </c>
      <c r="H124" s="688"/>
      <c r="I124" s="153"/>
    </row>
    <row r="125" spans="1:9" ht="23.25" customHeight="1" x14ac:dyDescent="0.25">
      <c r="A125" s="583"/>
      <c r="B125" s="233">
        <v>4491</v>
      </c>
      <c r="C125" s="234" t="s">
        <v>718</v>
      </c>
      <c r="D125" s="230" t="s">
        <v>15</v>
      </c>
      <c r="E125" s="231">
        <f>1.1*E118</f>
        <v>1.1000000000000001</v>
      </c>
      <c r="F125" s="208">
        <v>2.61</v>
      </c>
      <c r="G125" s="210">
        <f>F125*E125</f>
        <v>2.87</v>
      </c>
      <c r="H125" s="688"/>
      <c r="I125" s="153"/>
    </row>
    <row r="126" spans="1:9" ht="15" customHeight="1" x14ac:dyDescent="0.25">
      <c r="A126" s="583"/>
      <c r="B126" s="204">
        <v>5075</v>
      </c>
      <c r="C126" s="229" t="s">
        <v>719</v>
      </c>
      <c r="D126" s="230" t="s">
        <v>13</v>
      </c>
      <c r="E126" s="231">
        <f>E118*0.02</f>
        <v>0.02</v>
      </c>
      <c r="F126" s="208">
        <v>7.21</v>
      </c>
      <c r="G126" s="210">
        <f t="shared" ref="G126:G127" si="21">F126*E126</f>
        <v>0.14000000000000001</v>
      </c>
      <c r="H126" s="688"/>
      <c r="I126" s="153"/>
    </row>
    <row r="127" spans="1:9" ht="22.5" customHeight="1" thickBot="1" x14ac:dyDescent="0.3">
      <c r="A127" s="584"/>
      <c r="B127" s="211">
        <v>6189</v>
      </c>
      <c r="C127" s="216" t="s">
        <v>720</v>
      </c>
      <c r="D127" s="366" t="s">
        <v>15</v>
      </c>
      <c r="E127" s="367">
        <f>E118*0.3</f>
        <v>0.3</v>
      </c>
      <c r="F127" s="214">
        <v>9.08</v>
      </c>
      <c r="G127" s="215">
        <f t="shared" si="21"/>
        <v>2.72</v>
      </c>
      <c r="H127" s="688"/>
      <c r="I127" s="153"/>
    </row>
    <row r="128" spans="1:9" ht="24.75" customHeight="1" x14ac:dyDescent="0.25">
      <c r="A128" s="644" t="s">
        <v>1057</v>
      </c>
      <c r="B128" s="305" t="s">
        <v>350</v>
      </c>
      <c r="C128" s="42" t="s">
        <v>352</v>
      </c>
      <c r="D128" s="43" t="s">
        <v>271</v>
      </c>
      <c r="E128" s="44">
        <v>1</v>
      </c>
      <c r="F128" s="413">
        <f>SUM(G129:G132)/E128</f>
        <v>4.34</v>
      </c>
      <c r="G128" s="45">
        <f>F128*E128</f>
        <v>4.34</v>
      </c>
      <c r="H128" s="737" t="s">
        <v>8</v>
      </c>
      <c r="I128" s="160"/>
    </row>
    <row r="129" spans="1:14" x14ac:dyDescent="0.25">
      <c r="A129" s="645"/>
      <c r="B129" s="204">
        <v>10916</v>
      </c>
      <c r="C129" s="205" t="s">
        <v>351</v>
      </c>
      <c r="D129" s="206" t="s">
        <v>271</v>
      </c>
      <c r="E129" s="225">
        <f>1*E128</f>
        <v>1</v>
      </c>
      <c r="F129" s="208">
        <v>3.47</v>
      </c>
      <c r="G129" s="210">
        <f>F129*E129</f>
        <v>3.47</v>
      </c>
      <c r="H129" s="726">
        <f>(G131+G132)/E128</f>
        <v>0.8</v>
      </c>
      <c r="I129" s="160"/>
    </row>
    <row r="130" spans="1:14" x14ac:dyDescent="0.25">
      <c r="A130" s="645"/>
      <c r="B130" s="204">
        <v>337</v>
      </c>
      <c r="C130" s="205" t="s">
        <v>275</v>
      </c>
      <c r="D130" s="206" t="s">
        <v>271</v>
      </c>
      <c r="E130" s="225">
        <f>0.0103*E128</f>
        <v>1.03E-2</v>
      </c>
      <c r="F130" s="208">
        <v>7</v>
      </c>
      <c r="G130" s="210">
        <f>F130*E130</f>
        <v>7.0000000000000007E-2</v>
      </c>
      <c r="H130" s="59"/>
      <c r="I130" s="160"/>
    </row>
    <row r="131" spans="1:14" x14ac:dyDescent="0.25">
      <c r="A131" s="645"/>
      <c r="B131" s="429">
        <v>378</v>
      </c>
      <c r="C131" s="430" t="s">
        <v>290</v>
      </c>
      <c r="D131" s="431" t="s">
        <v>257</v>
      </c>
      <c r="E131" s="740">
        <f>0.02*E128</f>
        <v>0.02</v>
      </c>
      <c r="F131" s="433">
        <v>16.05</v>
      </c>
      <c r="G131" s="434">
        <f>F131*E131</f>
        <v>0.32</v>
      </c>
      <c r="H131" s="818" t="s">
        <v>9</v>
      </c>
      <c r="I131" s="160"/>
    </row>
    <row r="132" spans="1:14" ht="12" thickBot="1" x14ac:dyDescent="0.3">
      <c r="A132" s="646"/>
      <c r="B132" s="742">
        <v>6114</v>
      </c>
      <c r="C132" s="743" t="s">
        <v>295</v>
      </c>
      <c r="D132" s="749" t="s">
        <v>257</v>
      </c>
      <c r="E132" s="750">
        <f>0.04*E128</f>
        <v>0.04</v>
      </c>
      <c r="F132" s="746">
        <v>12.06</v>
      </c>
      <c r="G132" s="763">
        <f>F132*E132</f>
        <v>0.48</v>
      </c>
      <c r="H132" s="755">
        <f>F128-H129</f>
        <v>3.54</v>
      </c>
      <c r="I132" s="160"/>
    </row>
    <row r="133" spans="1:14" ht="23.25" customHeight="1" thickBot="1" x14ac:dyDescent="0.3">
      <c r="A133" s="650">
        <v>4</v>
      </c>
      <c r="B133" s="651"/>
      <c r="C133" s="822" t="s">
        <v>229</v>
      </c>
      <c r="D133" s="823"/>
      <c r="E133" s="823"/>
      <c r="F133" s="823"/>
      <c r="G133" s="823"/>
      <c r="H133" s="824"/>
    </row>
    <row r="134" spans="1:14" ht="45.75" thickBot="1" x14ac:dyDescent="0.3">
      <c r="A134" s="584" t="s">
        <v>123</v>
      </c>
      <c r="B134" s="361" t="s">
        <v>425</v>
      </c>
      <c r="C134" s="596" t="s">
        <v>26</v>
      </c>
      <c r="D134" s="129" t="s">
        <v>270</v>
      </c>
      <c r="E134" s="130">
        <v>1</v>
      </c>
      <c r="F134" s="574">
        <v>266.27</v>
      </c>
      <c r="G134" s="131">
        <f t="shared" ref="G134:G141" si="22">F134*E134</f>
        <v>266.27</v>
      </c>
      <c r="H134" s="677"/>
      <c r="J134" s="83"/>
      <c r="M134" s="83"/>
    </row>
    <row r="135" spans="1:14" ht="51.75" customHeight="1" x14ac:dyDescent="0.25">
      <c r="A135" s="582" t="s">
        <v>124</v>
      </c>
      <c r="B135" s="307">
        <v>87519</v>
      </c>
      <c r="C135" s="86" t="s">
        <v>723</v>
      </c>
      <c r="D135" s="28" t="s">
        <v>270</v>
      </c>
      <c r="E135" s="134">
        <v>1</v>
      </c>
      <c r="F135" s="30">
        <f>SUM(G136:G141)/E135</f>
        <v>57.2</v>
      </c>
      <c r="G135" s="31">
        <f t="shared" si="22"/>
        <v>57.2</v>
      </c>
      <c r="H135" s="680"/>
      <c r="I135" s="368"/>
      <c r="J135" s="41"/>
      <c r="K135" s="41"/>
      <c r="L135" s="41"/>
      <c r="M135" s="90"/>
      <c r="N135" s="41"/>
    </row>
    <row r="136" spans="1:14" ht="12" customHeight="1" thickBot="1" x14ac:dyDescent="0.3">
      <c r="A136" s="583"/>
      <c r="B136" s="429">
        <v>88309</v>
      </c>
      <c r="C136" s="430" t="s">
        <v>710</v>
      </c>
      <c r="D136" s="739" t="s">
        <v>257</v>
      </c>
      <c r="E136" s="764">
        <f>1.55*E135</f>
        <v>1.55</v>
      </c>
      <c r="F136" s="433">
        <v>17.97</v>
      </c>
      <c r="G136" s="741">
        <f t="shared" si="22"/>
        <v>27.85</v>
      </c>
      <c r="H136" s="680"/>
      <c r="I136" s="368"/>
      <c r="J136" s="41"/>
      <c r="K136" s="41"/>
      <c r="L136" s="41"/>
      <c r="M136" s="90"/>
      <c r="N136" s="41"/>
    </row>
    <row r="137" spans="1:14" ht="12" customHeight="1" thickBot="1" x14ac:dyDescent="0.3">
      <c r="A137" s="583"/>
      <c r="B137" s="429">
        <v>88316</v>
      </c>
      <c r="C137" s="430" t="s">
        <v>690</v>
      </c>
      <c r="D137" s="431" t="s">
        <v>257</v>
      </c>
      <c r="E137" s="764">
        <f>0.761*E135</f>
        <v>0.76100000000000001</v>
      </c>
      <c r="F137" s="433">
        <v>13.56</v>
      </c>
      <c r="G137" s="434">
        <f>E137*F137</f>
        <v>10.32</v>
      </c>
      <c r="H137" s="680"/>
      <c r="I137" s="663">
        <v>57.2</v>
      </c>
      <c r="J137" s="41"/>
      <c r="K137" s="41"/>
      <c r="L137" s="41"/>
      <c r="M137" s="90"/>
      <c r="N137" s="41"/>
    </row>
    <row r="138" spans="1:14" ht="12" customHeight="1" x14ac:dyDescent="0.25">
      <c r="A138" s="583"/>
      <c r="B138" s="204">
        <v>7324</v>
      </c>
      <c r="C138" s="205" t="s">
        <v>541</v>
      </c>
      <c r="D138" s="206" t="s">
        <v>271</v>
      </c>
      <c r="E138" s="241">
        <f>0.007*E135</f>
        <v>7.0000000000000001E-3</v>
      </c>
      <c r="F138" s="208">
        <v>39.36</v>
      </c>
      <c r="G138" s="210">
        <f t="shared" si="22"/>
        <v>0.28000000000000003</v>
      </c>
      <c r="H138" s="765" t="s">
        <v>8</v>
      </c>
      <c r="I138" s="161"/>
      <c r="J138" s="41"/>
      <c r="K138" s="41"/>
      <c r="L138" s="41"/>
      <c r="M138" s="41"/>
      <c r="N138" s="41"/>
    </row>
    <row r="139" spans="1:14" ht="12" customHeight="1" x14ac:dyDescent="0.25">
      <c r="A139" s="583"/>
      <c r="B139" s="204">
        <v>22</v>
      </c>
      <c r="C139" s="205" t="s">
        <v>540</v>
      </c>
      <c r="D139" s="206" t="s">
        <v>271</v>
      </c>
      <c r="E139" s="241">
        <f>0.37*E135</f>
        <v>0.37</v>
      </c>
      <c r="F139" s="208">
        <v>4.1900000000000004</v>
      </c>
      <c r="G139" s="210">
        <f t="shared" si="22"/>
        <v>1.55</v>
      </c>
      <c r="H139" s="766">
        <f>I137-H141</f>
        <v>38.17</v>
      </c>
      <c r="I139" s="161"/>
      <c r="J139" s="41"/>
      <c r="K139" s="41"/>
      <c r="L139" s="41"/>
      <c r="M139" s="41"/>
      <c r="N139" s="41"/>
    </row>
    <row r="140" spans="1:14" ht="12" customHeight="1" x14ac:dyDescent="0.25">
      <c r="A140" s="583"/>
      <c r="B140" s="204">
        <v>7266</v>
      </c>
      <c r="C140" s="240" t="s">
        <v>538</v>
      </c>
      <c r="D140" s="206" t="s">
        <v>539</v>
      </c>
      <c r="E140" s="241">
        <f>0.02831*E135</f>
        <v>2.8309999999999998E-2</v>
      </c>
      <c r="F140" s="208">
        <v>490.68</v>
      </c>
      <c r="G140" s="210">
        <f t="shared" si="22"/>
        <v>13.89</v>
      </c>
      <c r="H140" s="806" t="s">
        <v>9</v>
      </c>
      <c r="I140" s="161"/>
      <c r="J140" s="41"/>
      <c r="K140" s="41"/>
      <c r="L140" s="41"/>
      <c r="M140" s="41"/>
      <c r="N140" s="41"/>
    </row>
    <row r="141" spans="1:14" ht="12" customHeight="1" thickBot="1" x14ac:dyDescent="0.3">
      <c r="A141" s="584"/>
      <c r="B141" s="211">
        <v>87292</v>
      </c>
      <c r="C141" s="216" t="s">
        <v>297</v>
      </c>
      <c r="D141" s="212" t="s">
        <v>272</v>
      </c>
      <c r="E141" s="271">
        <f>0.0098*E135</f>
        <v>9.7999999999999997E-3</v>
      </c>
      <c r="F141" s="214">
        <v>337.32</v>
      </c>
      <c r="G141" s="215">
        <f t="shared" si="22"/>
        <v>3.31</v>
      </c>
      <c r="H141" s="817">
        <f>SUM(G138:G141)</f>
        <v>19.03</v>
      </c>
      <c r="I141" s="161"/>
      <c r="J141" s="41"/>
      <c r="K141" s="41"/>
      <c r="L141" s="41"/>
      <c r="M141" s="41"/>
      <c r="N141" s="41"/>
    </row>
    <row r="142" spans="1:14" ht="57.75" customHeight="1" x14ac:dyDescent="0.25">
      <c r="A142" s="582" t="s">
        <v>125</v>
      </c>
      <c r="B142" s="307" t="s">
        <v>724</v>
      </c>
      <c r="C142" s="86" t="s">
        <v>725</v>
      </c>
      <c r="D142" s="28" t="s">
        <v>270</v>
      </c>
      <c r="E142" s="88">
        <v>1</v>
      </c>
      <c r="F142" s="144">
        <f>SUM(G143:G148)/E142</f>
        <v>111.65</v>
      </c>
      <c r="G142" s="31">
        <f>F142*E142</f>
        <v>111.65</v>
      </c>
      <c r="H142" s="689"/>
      <c r="I142" s="368"/>
      <c r="J142" s="41"/>
      <c r="K142" s="41"/>
      <c r="L142" s="41"/>
      <c r="M142" s="41"/>
      <c r="N142" s="41"/>
    </row>
    <row r="143" spans="1:14" ht="12" customHeight="1" thickBot="1" x14ac:dyDescent="0.3">
      <c r="A143" s="583"/>
      <c r="B143" s="429">
        <v>88309</v>
      </c>
      <c r="C143" s="430" t="s">
        <v>710</v>
      </c>
      <c r="D143" s="739" t="s">
        <v>257</v>
      </c>
      <c r="E143" s="764">
        <v>3.1</v>
      </c>
      <c r="F143" s="433">
        <v>17.97</v>
      </c>
      <c r="G143" s="741">
        <f t="shared" ref="G143" si="23">F143*E143</f>
        <v>55.71</v>
      </c>
      <c r="H143" s="689"/>
      <c r="I143" s="368"/>
      <c r="J143" s="41"/>
      <c r="K143" s="41"/>
      <c r="L143" s="41"/>
      <c r="M143" s="41"/>
      <c r="N143" s="41"/>
    </row>
    <row r="144" spans="1:14" ht="12" customHeight="1" thickBot="1" x14ac:dyDescent="0.3">
      <c r="A144" s="583"/>
      <c r="B144" s="429">
        <v>88316</v>
      </c>
      <c r="C144" s="430" t="s">
        <v>690</v>
      </c>
      <c r="D144" s="431" t="s">
        <v>257</v>
      </c>
      <c r="E144" s="764">
        <v>1.5215000000000001</v>
      </c>
      <c r="F144" s="433">
        <v>13.56</v>
      </c>
      <c r="G144" s="434">
        <f>E144*F144</f>
        <v>20.63</v>
      </c>
      <c r="H144" s="689"/>
      <c r="I144" s="663">
        <v>111.65</v>
      </c>
      <c r="J144" s="41"/>
      <c r="K144" s="41"/>
      <c r="L144" s="41"/>
      <c r="M144" s="41"/>
      <c r="N144" s="41"/>
    </row>
    <row r="145" spans="1:14" x14ac:dyDescent="0.25">
      <c r="A145" s="583"/>
      <c r="B145" s="204">
        <v>7324</v>
      </c>
      <c r="C145" s="205" t="s">
        <v>541</v>
      </c>
      <c r="D145" s="206" t="s">
        <v>271</v>
      </c>
      <c r="E145" s="207">
        <f>0.007*E142</f>
        <v>7.0000000000000001E-3</v>
      </c>
      <c r="F145" s="208">
        <v>39.36</v>
      </c>
      <c r="G145" s="210">
        <f t="shared" ref="G145:G148" si="24">F145*E145</f>
        <v>0.28000000000000003</v>
      </c>
      <c r="H145" s="737" t="s">
        <v>8</v>
      </c>
      <c r="I145" s="161"/>
      <c r="J145" s="41"/>
      <c r="K145" s="41"/>
      <c r="L145" s="41"/>
      <c r="M145" s="41"/>
      <c r="N145" s="41"/>
    </row>
    <row r="146" spans="1:14" x14ac:dyDescent="0.25">
      <c r="A146" s="583"/>
      <c r="B146" s="204">
        <v>22</v>
      </c>
      <c r="C146" s="205" t="s">
        <v>540</v>
      </c>
      <c r="D146" s="206" t="s">
        <v>271</v>
      </c>
      <c r="E146" s="207">
        <f>0.39*E142</f>
        <v>0.39</v>
      </c>
      <c r="F146" s="208">
        <v>4.1900000000000004</v>
      </c>
      <c r="G146" s="210">
        <f t="shared" si="24"/>
        <v>1.63</v>
      </c>
      <c r="H146" s="726">
        <f>2*38.17</f>
        <v>76.34</v>
      </c>
      <c r="I146" s="161"/>
      <c r="J146" s="41"/>
      <c r="K146" s="41"/>
      <c r="L146" s="41"/>
      <c r="M146" s="41"/>
      <c r="N146" s="41"/>
    </row>
    <row r="147" spans="1:14" x14ac:dyDescent="0.25">
      <c r="A147" s="583"/>
      <c r="B147" s="204">
        <v>72.66</v>
      </c>
      <c r="C147" s="240" t="s">
        <v>538</v>
      </c>
      <c r="D147" s="206" t="s">
        <v>539</v>
      </c>
      <c r="E147" s="207">
        <f>0.055*E142</f>
        <v>5.5E-2</v>
      </c>
      <c r="F147" s="208">
        <v>490.68</v>
      </c>
      <c r="G147" s="210">
        <f t="shared" si="24"/>
        <v>26.99</v>
      </c>
      <c r="H147" s="754" t="s">
        <v>9</v>
      </c>
      <c r="I147" s="161"/>
      <c r="J147" s="41"/>
      <c r="K147" s="41"/>
      <c r="L147" s="41"/>
      <c r="M147" s="41"/>
      <c r="N147" s="41"/>
    </row>
    <row r="148" spans="1:14" ht="14.25" customHeight="1" thickBot="1" x14ac:dyDescent="0.3">
      <c r="A148" s="584"/>
      <c r="B148" s="211">
        <v>87292</v>
      </c>
      <c r="C148" s="216" t="s">
        <v>297</v>
      </c>
      <c r="D148" s="212" t="s">
        <v>272</v>
      </c>
      <c r="E148" s="213">
        <f>0.019*E142</f>
        <v>1.9E-2</v>
      </c>
      <c r="F148" s="214">
        <v>337.32</v>
      </c>
      <c r="G148" s="215">
        <f t="shared" si="24"/>
        <v>6.41</v>
      </c>
      <c r="H148" s="755">
        <f>SUM(G145:G148)</f>
        <v>35.31</v>
      </c>
      <c r="I148" s="161"/>
      <c r="J148" s="41"/>
      <c r="K148" s="41"/>
      <c r="L148" s="41"/>
      <c r="M148" s="41"/>
      <c r="N148" s="41"/>
    </row>
    <row r="149" spans="1:14" ht="34.5" thickBot="1" x14ac:dyDescent="0.3">
      <c r="A149" s="582" t="s">
        <v>126</v>
      </c>
      <c r="B149" s="305" t="s">
        <v>230</v>
      </c>
      <c r="C149" s="42" t="s">
        <v>231</v>
      </c>
      <c r="D149" s="43" t="s">
        <v>232</v>
      </c>
      <c r="E149" s="44">
        <v>1</v>
      </c>
      <c r="F149" s="30">
        <f>SUM(G150:G153)/E149</f>
        <v>8.86</v>
      </c>
      <c r="G149" s="45">
        <f>E149*F149</f>
        <v>8.86</v>
      </c>
      <c r="H149" s="737" t="s">
        <v>8</v>
      </c>
      <c r="I149" s="576">
        <v>8.86</v>
      </c>
      <c r="J149" s="90"/>
      <c r="K149" s="41"/>
      <c r="L149" s="41"/>
      <c r="M149" s="90"/>
      <c r="N149" s="41"/>
    </row>
    <row r="150" spans="1:14" x14ac:dyDescent="0.25">
      <c r="A150" s="583"/>
      <c r="B150" s="429">
        <v>88309</v>
      </c>
      <c r="C150" s="430" t="s">
        <v>710</v>
      </c>
      <c r="D150" s="431" t="s">
        <v>257</v>
      </c>
      <c r="E150" s="432">
        <f>0.198*E149</f>
        <v>0.19800000000000001</v>
      </c>
      <c r="F150" s="433">
        <v>17.97</v>
      </c>
      <c r="G150" s="434">
        <f>F150*E150</f>
        <v>3.56</v>
      </c>
      <c r="H150" s="726">
        <f>I149-H152</f>
        <v>4.92</v>
      </c>
      <c r="I150" s="162"/>
      <c r="J150" s="41"/>
      <c r="K150" s="41"/>
      <c r="L150" s="41"/>
      <c r="M150" s="41"/>
      <c r="N150" s="41"/>
    </row>
    <row r="151" spans="1:14" x14ac:dyDescent="0.25">
      <c r="A151" s="583"/>
      <c r="B151" s="429">
        <v>88316</v>
      </c>
      <c r="C151" s="430" t="s">
        <v>690</v>
      </c>
      <c r="D151" s="431" t="s">
        <v>257</v>
      </c>
      <c r="E151" s="432">
        <f>0.1*E149</f>
        <v>0.1</v>
      </c>
      <c r="F151" s="433">
        <v>13.56</v>
      </c>
      <c r="G151" s="434">
        <f>E151*F151</f>
        <v>1.36</v>
      </c>
      <c r="H151" s="754" t="s">
        <v>9</v>
      </c>
      <c r="I151" s="162"/>
      <c r="J151" s="41"/>
      <c r="K151" s="41"/>
      <c r="L151" s="41"/>
      <c r="M151" s="41"/>
      <c r="N151" s="41"/>
    </row>
    <row r="152" spans="1:14" ht="21.75" customHeight="1" thickBot="1" x14ac:dyDescent="0.3">
      <c r="A152" s="583"/>
      <c r="B152" s="204">
        <v>87369</v>
      </c>
      <c r="C152" s="205" t="s">
        <v>726</v>
      </c>
      <c r="D152" s="206" t="s">
        <v>272</v>
      </c>
      <c r="E152" s="241">
        <f>0.003*E149</f>
        <v>3.0000000000000001E-3</v>
      </c>
      <c r="F152" s="208">
        <v>412.17</v>
      </c>
      <c r="G152" s="210">
        <f>E152*F152</f>
        <v>1.24</v>
      </c>
      <c r="H152" s="755">
        <f>G152+G153</f>
        <v>3.94</v>
      </c>
      <c r="I152" s="162"/>
      <c r="J152" s="41"/>
      <c r="K152" s="41"/>
      <c r="L152" s="41"/>
      <c r="M152" s="41"/>
      <c r="N152" s="41"/>
    </row>
    <row r="153" spans="1:14" ht="12" thickBot="1" x14ac:dyDescent="0.3">
      <c r="A153" s="584"/>
      <c r="B153" s="211">
        <v>7258</v>
      </c>
      <c r="C153" s="216" t="s">
        <v>727</v>
      </c>
      <c r="D153" s="212" t="s">
        <v>269</v>
      </c>
      <c r="E153" s="271">
        <f>6*E149</f>
        <v>6</v>
      </c>
      <c r="F153" s="214">
        <v>0.45</v>
      </c>
      <c r="G153" s="210">
        <f>E153*F153</f>
        <v>2.7</v>
      </c>
      <c r="H153" s="690"/>
      <c r="I153" s="162"/>
      <c r="J153" s="41"/>
      <c r="K153" s="41"/>
      <c r="L153" s="41"/>
      <c r="M153" s="41"/>
      <c r="N153" s="41"/>
    </row>
    <row r="154" spans="1:14" ht="34.5" thickBot="1" x14ac:dyDescent="0.25">
      <c r="A154" s="582" t="s">
        <v>1058</v>
      </c>
      <c r="B154" s="307" t="s">
        <v>233</v>
      </c>
      <c r="C154" s="27" t="s">
        <v>234</v>
      </c>
      <c r="D154" s="28" t="s">
        <v>232</v>
      </c>
      <c r="E154" s="29">
        <v>1</v>
      </c>
      <c r="F154" s="30">
        <f>SUM(G155:G162)/E154</f>
        <v>15.33</v>
      </c>
      <c r="G154" s="45">
        <f>E154*F154</f>
        <v>15.33</v>
      </c>
      <c r="H154" s="677"/>
      <c r="I154" s="664">
        <v>15.33</v>
      </c>
      <c r="J154" s="41"/>
      <c r="K154" s="41"/>
      <c r="L154" s="41"/>
      <c r="M154" s="90"/>
      <c r="N154" s="41"/>
    </row>
    <row r="155" spans="1:14" ht="22.5" x14ac:dyDescent="0.25">
      <c r="A155" s="583"/>
      <c r="B155" s="429">
        <v>88239</v>
      </c>
      <c r="C155" s="430" t="s">
        <v>704</v>
      </c>
      <c r="D155" s="431" t="s">
        <v>257</v>
      </c>
      <c r="E155" s="498">
        <f>0.123*E154</f>
        <v>0.123</v>
      </c>
      <c r="F155" s="433">
        <v>14.19</v>
      </c>
      <c r="G155" s="434">
        <f t="shared" ref="G155" si="25">F155*E155</f>
        <v>1.75</v>
      </c>
      <c r="H155" s="767" t="s">
        <v>8</v>
      </c>
      <c r="I155" s="163"/>
      <c r="J155" s="41"/>
      <c r="K155" s="41"/>
      <c r="L155" s="41"/>
      <c r="M155" s="41"/>
      <c r="N155" s="41"/>
    </row>
    <row r="156" spans="1:14" x14ac:dyDescent="0.25">
      <c r="A156" s="583"/>
      <c r="B156" s="429">
        <v>88262</v>
      </c>
      <c r="C156" s="430" t="s">
        <v>689</v>
      </c>
      <c r="D156" s="431" t="s">
        <v>257</v>
      </c>
      <c r="E156" s="498">
        <f>0.075*E154</f>
        <v>7.4999999999999997E-2</v>
      </c>
      <c r="F156" s="433">
        <v>17.84</v>
      </c>
      <c r="G156" s="481">
        <f t="shared" ref="G156:G163" si="26">F156*E156</f>
        <v>1.34</v>
      </c>
      <c r="H156" s="726">
        <f>I154-H158</f>
        <v>4.26</v>
      </c>
      <c r="I156" s="163"/>
      <c r="J156" s="41"/>
      <c r="K156" s="41"/>
      <c r="L156" s="41"/>
      <c r="M156" s="41"/>
      <c r="N156" s="41"/>
    </row>
    <row r="157" spans="1:14" x14ac:dyDescent="0.25">
      <c r="A157" s="583"/>
      <c r="B157" s="429">
        <v>88309</v>
      </c>
      <c r="C157" s="430" t="s">
        <v>710</v>
      </c>
      <c r="D157" s="431" t="s">
        <v>257</v>
      </c>
      <c r="E157" s="498">
        <f>0.02*E154</f>
        <v>0.02</v>
      </c>
      <c r="F157" s="433">
        <v>17.97</v>
      </c>
      <c r="G157" s="481">
        <f t="shared" si="26"/>
        <v>0.36</v>
      </c>
      <c r="H157" s="815" t="s">
        <v>9</v>
      </c>
      <c r="I157" s="163"/>
      <c r="J157" s="41"/>
      <c r="K157" s="41"/>
      <c r="L157" s="41"/>
      <c r="M157" s="41"/>
      <c r="N157" s="41"/>
    </row>
    <row r="158" spans="1:14" ht="12" thickBot="1" x14ac:dyDescent="0.3">
      <c r="A158" s="583"/>
      <c r="B158" s="429">
        <v>88316</v>
      </c>
      <c r="C158" s="430" t="s">
        <v>690</v>
      </c>
      <c r="D158" s="431" t="s">
        <v>257</v>
      </c>
      <c r="E158" s="498">
        <f>0.06*E154</f>
        <v>0.06</v>
      </c>
      <c r="F158" s="433">
        <v>13.56</v>
      </c>
      <c r="G158" s="481">
        <f t="shared" si="26"/>
        <v>0.81</v>
      </c>
      <c r="H158" s="755">
        <f>SUM(G159:G162)</f>
        <v>11.07</v>
      </c>
      <c r="I158" s="163"/>
      <c r="J158" s="41"/>
      <c r="K158" s="41"/>
      <c r="L158" s="41"/>
      <c r="M158" s="41"/>
      <c r="N158" s="41"/>
    </row>
    <row r="159" spans="1:14" x14ac:dyDescent="0.25">
      <c r="A159" s="583"/>
      <c r="B159" s="204">
        <v>5069</v>
      </c>
      <c r="C159" s="205" t="s">
        <v>298</v>
      </c>
      <c r="D159" s="206" t="s">
        <v>271</v>
      </c>
      <c r="E159" s="237">
        <f>0.01*E154</f>
        <v>0.01</v>
      </c>
      <c r="F159" s="238">
        <v>7.17</v>
      </c>
      <c r="G159" s="209">
        <f t="shared" ref="G159" si="27">F159*E159</f>
        <v>7.0000000000000007E-2</v>
      </c>
      <c r="H159" s="690"/>
      <c r="I159" s="163"/>
      <c r="J159" s="41"/>
      <c r="K159" s="41"/>
      <c r="L159" s="41"/>
      <c r="M159" s="41"/>
      <c r="N159" s="41"/>
    </row>
    <row r="160" spans="1:14" ht="22.5" x14ac:dyDescent="0.25">
      <c r="A160" s="583"/>
      <c r="B160" s="204">
        <v>6189</v>
      </c>
      <c r="C160" s="205" t="s">
        <v>299</v>
      </c>
      <c r="D160" s="206" t="s">
        <v>270</v>
      </c>
      <c r="E160" s="237">
        <f>0.2219*E154</f>
        <v>0.22189999999999999</v>
      </c>
      <c r="F160" s="208">
        <v>9.08</v>
      </c>
      <c r="G160" s="210">
        <f t="shared" si="26"/>
        <v>2.0099999999999998</v>
      </c>
      <c r="H160" s="678"/>
      <c r="I160" s="161"/>
      <c r="J160" s="41"/>
      <c r="K160" s="41"/>
      <c r="L160" s="41"/>
      <c r="M160" s="41"/>
      <c r="N160" s="41"/>
    </row>
    <row r="161" spans="1:14" ht="22.5" x14ac:dyDescent="0.25">
      <c r="A161" s="583"/>
      <c r="B161" s="204" t="s">
        <v>300</v>
      </c>
      <c r="C161" s="205" t="s">
        <v>301</v>
      </c>
      <c r="D161" s="206" t="s">
        <v>272</v>
      </c>
      <c r="E161" s="237">
        <f>0.01*E154</f>
        <v>0.01</v>
      </c>
      <c r="F161" s="208">
        <v>387.6</v>
      </c>
      <c r="G161" s="210">
        <f t="shared" si="26"/>
        <v>3.88</v>
      </c>
      <c r="H161" s="678"/>
      <c r="I161" s="161"/>
      <c r="J161" s="41"/>
      <c r="K161" s="41"/>
      <c r="L161" s="41"/>
      <c r="M161" s="41"/>
      <c r="N161" s="41"/>
    </row>
    <row r="162" spans="1:14" ht="23.25" thickBot="1" x14ac:dyDescent="0.3">
      <c r="A162" s="584"/>
      <c r="B162" s="211" t="s">
        <v>302</v>
      </c>
      <c r="C162" s="216" t="s">
        <v>303</v>
      </c>
      <c r="D162" s="212" t="s">
        <v>271</v>
      </c>
      <c r="E162" s="239">
        <f>0.72*E154</f>
        <v>0.72</v>
      </c>
      <c r="F162" s="214">
        <v>7.1</v>
      </c>
      <c r="G162" s="215">
        <f t="shared" si="26"/>
        <v>5.1100000000000003</v>
      </c>
      <c r="H162" s="678"/>
      <c r="I162" s="163"/>
      <c r="J162" s="41"/>
      <c r="K162" s="41"/>
      <c r="L162" s="41"/>
      <c r="M162" s="41"/>
      <c r="N162" s="41"/>
    </row>
    <row r="163" spans="1:14" ht="27.75" customHeight="1" thickBot="1" x14ac:dyDescent="0.3">
      <c r="A163" s="582" t="s">
        <v>1059</v>
      </c>
      <c r="B163" s="307" t="s">
        <v>423</v>
      </c>
      <c r="C163" s="27" t="s">
        <v>728</v>
      </c>
      <c r="D163" s="28" t="s">
        <v>270</v>
      </c>
      <c r="E163" s="134">
        <v>1</v>
      </c>
      <c r="F163" s="30">
        <f>SUM(G164:G167)/E163</f>
        <v>122.58</v>
      </c>
      <c r="G163" s="45">
        <f t="shared" si="26"/>
        <v>122.58</v>
      </c>
      <c r="H163" s="73"/>
      <c r="I163" s="665">
        <v>122.58</v>
      </c>
      <c r="J163" s="41"/>
      <c r="K163" s="41"/>
      <c r="L163" s="41"/>
      <c r="M163" s="41"/>
      <c r="N163" s="41"/>
    </row>
    <row r="164" spans="1:14" x14ac:dyDescent="0.25">
      <c r="A164" s="583"/>
      <c r="B164" s="204">
        <v>87373</v>
      </c>
      <c r="C164" s="205" t="s">
        <v>536</v>
      </c>
      <c r="D164" s="206" t="s">
        <v>272</v>
      </c>
      <c r="E164" s="241">
        <f>0.0048*E163</f>
        <v>4.7999999999999996E-3</v>
      </c>
      <c r="F164" s="208">
        <v>475.86</v>
      </c>
      <c r="G164" s="210">
        <f t="shared" ref="G164:G166" si="28">F164*E164</f>
        <v>2.2799999999999998</v>
      </c>
      <c r="H164" s="737" t="s">
        <v>8</v>
      </c>
      <c r="I164" s="161"/>
      <c r="J164" s="41"/>
      <c r="K164" s="41"/>
      <c r="L164" s="41"/>
      <c r="M164" s="41"/>
      <c r="N164" s="41"/>
    </row>
    <row r="165" spans="1:14" x14ac:dyDescent="0.25">
      <c r="A165" s="583"/>
      <c r="B165" s="204">
        <v>665</v>
      </c>
      <c r="C165" s="205" t="s">
        <v>537</v>
      </c>
      <c r="D165" s="206" t="s">
        <v>268</v>
      </c>
      <c r="E165" s="241">
        <f>4*E163</f>
        <v>4</v>
      </c>
      <c r="F165" s="208">
        <v>23.4</v>
      </c>
      <c r="G165" s="210">
        <f t="shared" si="28"/>
        <v>93.6</v>
      </c>
      <c r="H165" s="726">
        <f>I163-H167</f>
        <v>26.7</v>
      </c>
      <c r="I165" s="161"/>
      <c r="J165" s="41"/>
      <c r="K165" s="41"/>
      <c r="L165" s="41"/>
      <c r="M165" s="41"/>
      <c r="N165" s="41"/>
    </row>
    <row r="166" spans="1:14" x14ac:dyDescent="0.25">
      <c r="A166" s="583"/>
      <c r="B166" s="429">
        <v>88309</v>
      </c>
      <c r="C166" s="430" t="s">
        <v>710</v>
      </c>
      <c r="D166" s="431" t="s">
        <v>257</v>
      </c>
      <c r="E166" s="757">
        <f>0.844*E163</f>
        <v>0.84399999999999997</v>
      </c>
      <c r="F166" s="433">
        <v>17.97</v>
      </c>
      <c r="G166" s="434">
        <f t="shared" si="28"/>
        <v>15.17</v>
      </c>
      <c r="H166" s="754" t="s">
        <v>9</v>
      </c>
      <c r="I166" s="161"/>
      <c r="J166" s="41"/>
      <c r="K166" s="41"/>
      <c r="L166" s="41"/>
      <c r="M166" s="41"/>
      <c r="N166" s="41"/>
    </row>
    <row r="167" spans="1:14" ht="12" thickBot="1" x14ac:dyDescent="0.3">
      <c r="A167" s="584"/>
      <c r="B167" s="465">
        <v>88316</v>
      </c>
      <c r="C167" s="466" t="s">
        <v>690</v>
      </c>
      <c r="D167" s="467" t="s">
        <v>257</v>
      </c>
      <c r="E167" s="731">
        <f>0.85*E163</f>
        <v>0.85</v>
      </c>
      <c r="F167" s="729">
        <v>13.56</v>
      </c>
      <c r="G167" s="730">
        <f t="shared" ref="G167" si="29">F167*E167</f>
        <v>11.53</v>
      </c>
      <c r="H167" s="755">
        <f>G164+G165</f>
        <v>95.88</v>
      </c>
      <c r="I167" s="369"/>
      <c r="J167" s="41"/>
      <c r="K167" s="41"/>
      <c r="L167" s="41"/>
      <c r="M167" s="41"/>
      <c r="N167" s="41"/>
    </row>
    <row r="168" spans="1:14" ht="29.25" customHeight="1" thickBot="1" x14ac:dyDescent="0.3">
      <c r="A168" s="830">
        <v>5</v>
      </c>
      <c r="B168" s="831"/>
      <c r="C168" s="825" t="s">
        <v>21</v>
      </c>
      <c r="D168" s="826"/>
      <c r="E168" s="826"/>
      <c r="F168" s="826"/>
      <c r="G168" s="826"/>
      <c r="H168" s="827"/>
      <c r="I168" s="154"/>
      <c r="J168" s="41"/>
      <c r="K168" s="41"/>
      <c r="L168" s="41"/>
      <c r="M168" s="41"/>
      <c r="N168" s="41"/>
    </row>
    <row r="169" spans="1:14" ht="24.75" customHeight="1" x14ac:dyDescent="0.25">
      <c r="A169" s="583" t="s">
        <v>127</v>
      </c>
      <c r="B169" s="590" t="s">
        <v>399</v>
      </c>
      <c r="C169" s="78" t="s">
        <v>400</v>
      </c>
      <c r="D169" s="79" t="s">
        <v>268</v>
      </c>
      <c r="E169" s="80">
        <v>1</v>
      </c>
      <c r="F169" s="49">
        <f>SUM(G170:G180)/E169</f>
        <v>442.79</v>
      </c>
      <c r="G169" s="334">
        <f t="shared" ref="G169:G179" si="30">F169*E169</f>
        <v>442.79</v>
      </c>
      <c r="H169" s="677"/>
      <c r="I169" s="152"/>
      <c r="J169" s="123"/>
      <c r="K169" s="123"/>
      <c r="L169" s="41"/>
      <c r="M169" s="90"/>
      <c r="N169" s="41"/>
    </row>
    <row r="170" spans="1:14" ht="19.5" customHeight="1" thickBot="1" x14ac:dyDescent="0.3">
      <c r="A170" s="583"/>
      <c r="B170" s="291">
        <v>183</v>
      </c>
      <c r="C170" s="205" t="s">
        <v>19</v>
      </c>
      <c r="D170" s="206" t="s">
        <v>306</v>
      </c>
      <c r="E170" s="241">
        <f>1*E169</f>
        <v>1</v>
      </c>
      <c r="F170" s="208">
        <v>83.2</v>
      </c>
      <c r="G170" s="210">
        <f t="shared" si="30"/>
        <v>83.2</v>
      </c>
      <c r="H170" s="678"/>
      <c r="I170" s="153"/>
      <c r="J170" s="41"/>
      <c r="K170" s="41"/>
      <c r="L170" s="41"/>
      <c r="M170" s="41"/>
      <c r="N170" s="41"/>
    </row>
    <row r="171" spans="1:14" ht="19.5" customHeight="1" thickBot="1" x14ac:dyDescent="0.3">
      <c r="A171" s="583"/>
      <c r="B171" s="291">
        <v>187</v>
      </c>
      <c r="C171" s="205" t="s">
        <v>307</v>
      </c>
      <c r="D171" s="206" t="s">
        <v>232</v>
      </c>
      <c r="E171" s="241">
        <f>(2.15*4+1.1*2)*E169</f>
        <v>10.8</v>
      </c>
      <c r="F171" s="208">
        <v>6.09</v>
      </c>
      <c r="G171" s="210">
        <f t="shared" si="30"/>
        <v>65.77</v>
      </c>
      <c r="H171" s="678"/>
      <c r="I171" s="575">
        <f>H173+H175</f>
        <v>442.79</v>
      </c>
      <c r="J171" s="41"/>
      <c r="K171" s="41"/>
      <c r="L171" s="41"/>
      <c r="M171" s="41"/>
      <c r="N171" s="41"/>
    </row>
    <row r="172" spans="1:14" ht="11.25" customHeight="1" x14ac:dyDescent="0.25">
      <c r="A172" s="583"/>
      <c r="B172" s="621">
        <v>88261</v>
      </c>
      <c r="C172" s="430" t="s">
        <v>304</v>
      </c>
      <c r="D172" s="431" t="s">
        <v>257</v>
      </c>
      <c r="E172" s="432">
        <f>2.051*E169</f>
        <v>2.0510000000000002</v>
      </c>
      <c r="F172" s="433">
        <v>14.71</v>
      </c>
      <c r="G172" s="481">
        <f t="shared" si="30"/>
        <v>30.17</v>
      </c>
      <c r="H172" s="737" t="s">
        <v>8</v>
      </c>
      <c r="I172" s="153"/>
      <c r="J172" s="41"/>
      <c r="K172" s="41"/>
      <c r="L172" s="41"/>
      <c r="M172" s="41"/>
      <c r="N172" s="41"/>
    </row>
    <row r="173" spans="1:14" ht="19.5" customHeight="1" x14ac:dyDescent="0.25">
      <c r="A173" s="583"/>
      <c r="B173" s="291">
        <v>4419</v>
      </c>
      <c r="C173" s="205" t="s">
        <v>309</v>
      </c>
      <c r="D173" s="206" t="s">
        <v>268</v>
      </c>
      <c r="E173" s="241">
        <f>6*E169</f>
        <v>6</v>
      </c>
      <c r="F173" s="208">
        <v>0.5</v>
      </c>
      <c r="G173" s="209">
        <f t="shared" si="30"/>
        <v>3</v>
      </c>
      <c r="H173" s="768">
        <v>109.93</v>
      </c>
      <c r="I173" s="153"/>
      <c r="J173" s="41"/>
      <c r="K173" s="41"/>
      <c r="L173" s="41"/>
      <c r="M173" s="41"/>
      <c r="N173" s="41"/>
    </row>
    <row r="174" spans="1:14" ht="12" customHeight="1" x14ac:dyDescent="0.25">
      <c r="A174" s="583"/>
      <c r="B174" s="621">
        <v>88309</v>
      </c>
      <c r="C174" s="430" t="s">
        <v>710</v>
      </c>
      <c r="D174" s="431" t="s">
        <v>257</v>
      </c>
      <c r="E174" s="432">
        <f>1.42*E169</f>
        <v>1.42</v>
      </c>
      <c r="F174" s="433">
        <v>17.97</v>
      </c>
      <c r="G174" s="481">
        <f t="shared" si="30"/>
        <v>25.52</v>
      </c>
      <c r="H174" s="754" t="s">
        <v>9</v>
      </c>
      <c r="I174" s="153"/>
      <c r="J174" s="41"/>
      <c r="K174" s="41"/>
      <c r="L174" s="41"/>
      <c r="M174" s="41"/>
      <c r="N174" s="41"/>
    </row>
    <row r="175" spans="1:14" ht="12" customHeight="1" thickBot="1" x14ac:dyDescent="0.3">
      <c r="A175" s="583"/>
      <c r="B175" s="621">
        <v>88316</v>
      </c>
      <c r="C175" s="430" t="s">
        <v>690</v>
      </c>
      <c r="D175" s="431" t="s">
        <v>257</v>
      </c>
      <c r="E175" s="432">
        <f>4*E169</f>
        <v>4</v>
      </c>
      <c r="F175" s="433">
        <v>13.56</v>
      </c>
      <c r="G175" s="481">
        <f t="shared" si="30"/>
        <v>54.24</v>
      </c>
      <c r="H175" s="755">
        <f>G170+G171+G173+SUM(G176:G180)</f>
        <v>332.86</v>
      </c>
      <c r="I175" s="153"/>
      <c r="J175" s="41"/>
      <c r="K175" s="41"/>
      <c r="L175" s="41"/>
      <c r="M175" s="41"/>
      <c r="N175" s="41"/>
    </row>
    <row r="176" spans="1:14" ht="12" customHeight="1" x14ac:dyDescent="0.25">
      <c r="A176" s="583"/>
      <c r="B176" s="291">
        <v>87373</v>
      </c>
      <c r="C176" s="205" t="s">
        <v>396</v>
      </c>
      <c r="D176" s="230" t="s">
        <v>12</v>
      </c>
      <c r="E176" s="241">
        <f>0.0106*E169</f>
        <v>1.06E-2</v>
      </c>
      <c r="F176" s="208">
        <v>475.86</v>
      </c>
      <c r="G176" s="210">
        <f t="shared" si="30"/>
        <v>5.04</v>
      </c>
      <c r="H176" s="678"/>
      <c r="I176" s="153"/>
      <c r="J176" s="41"/>
      <c r="K176" s="41"/>
      <c r="L176" s="41"/>
      <c r="M176" s="41"/>
      <c r="N176" s="41"/>
    </row>
    <row r="177" spans="1:14" ht="12" customHeight="1" x14ac:dyDescent="0.25">
      <c r="A177" s="583"/>
      <c r="B177" s="291">
        <v>4378</v>
      </c>
      <c r="C177" s="205" t="s">
        <v>545</v>
      </c>
      <c r="D177" s="206" t="s">
        <v>546</v>
      </c>
      <c r="E177" s="241">
        <f>6*E169</f>
        <v>6</v>
      </c>
      <c r="F177" s="208">
        <v>0.63</v>
      </c>
      <c r="G177" s="210">
        <f t="shared" si="30"/>
        <v>3.78</v>
      </c>
      <c r="H177" s="678"/>
      <c r="I177" s="153"/>
      <c r="J177" s="41"/>
      <c r="K177" s="41"/>
      <c r="L177" s="41"/>
      <c r="M177" s="41"/>
      <c r="N177" s="41"/>
    </row>
    <row r="178" spans="1:14" ht="19.5" customHeight="1" x14ac:dyDescent="0.25">
      <c r="A178" s="583"/>
      <c r="B178" s="291">
        <v>4989</v>
      </c>
      <c r="C178" s="205" t="s">
        <v>401</v>
      </c>
      <c r="D178" s="206" t="s">
        <v>268</v>
      </c>
      <c r="E178" s="241">
        <f>1*E169</f>
        <v>1</v>
      </c>
      <c r="F178" s="208">
        <v>111.2</v>
      </c>
      <c r="G178" s="210">
        <f t="shared" si="30"/>
        <v>111.2</v>
      </c>
      <c r="H178" s="678"/>
      <c r="I178" s="153"/>
      <c r="J178" s="41"/>
      <c r="K178" s="41"/>
      <c r="L178" s="41"/>
      <c r="M178" s="41"/>
      <c r="N178" s="41"/>
    </row>
    <row r="179" spans="1:14" ht="11.25" customHeight="1" x14ac:dyDescent="0.25">
      <c r="A179" s="583"/>
      <c r="B179" s="291">
        <v>11447</v>
      </c>
      <c r="C179" s="205" t="s">
        <v>305</v>
      </c>
      <c r="D179" s="206" t="s">
        <v>268</v>
      </c>
      <c r="E179" s="241">
        <f>3*E169</f>
        <v>3</v>
      </c>
      <c r="F179" s="208">
        <v>18.47</v>
      </c>
      <c r="G179" s="210">
        <f t="shared" si="30"/>
        <v>55.41</v>
      </c>
      <c r="H179" s="678"/>
      <c r="I179" s="153"/>
      <c r="J179" s="41"/>
      <c r="K179" s="41"/>
      <c r="L179" s="41"/>
      <c r="M179" s="41"/>
      <c r="N179" s="41"/>
    </row>
    <row r="180" spans="1:14" ht="11.25" customHeight="1" thickBot="1" x14ac:dyDescent="0.3">
      <c r="A180" s="584"/>
      <c r="B180" s="291">
        <v>20247</v>
      </c>
      <c r="C180" s="205" t="s">
        <v>308</v>
      </c>
      <c r="D180" s="206" t="s">
        <v>271</v>
      </c>
      <c r="E180" s="241">
        <f>0.666*E169</f>
        <v>0.66600000000000004</v>
      </c>
      <c r="F180" s="208">
        <v>8.1999999999999993</v>
      </c>
      <c r="G180" s="210">
        <f>F180*E180</f>
        <v>5.46</v>
      </c>
      <c r="H180" s="678"/>
      <c r="I180" s="153"/>
      <c r="J180" s="41"/>
      <c r="K180" s="41"/>
      <c r="L180" s="41"/>
      <c r="M180" s="41"/>
      <c r="N180" s="41"/>
    </row>
    <row r="181" spans="1:14" ht="21" customHeight="1" thickBot="1" x14ac:dyDescent="0.3">
      <c r="A181" s="582" t="s">
        <v>128</v>
      </c>
      <c r="B181" s="591" t="s">
        <v>395</v>
      </c>
      <c r="C181" s="42" t="s">
        <v>398</v>
      </c>
      <c r="D181" s="43" t="s">
        <v>268</v>
      </c>
      <c r="E181" s="44">
        <v>1</v>
      </c>
      <c r="F181" s="30">
        <f>SUM(G182:G192)/E181</f>
        <v>431.03</v>
      </c>
      <c r="G181" s="45">
        <f t="shared" ref="G181:G191" si="31">F181*E181</f>
        <v>431.03</v>
      </c>
      <c r="H181" s="677"/>
      <c r="I181" s="576">
        <v>431.03</v>
      </c>
      <c r="J181" s="41"/>
      <c r="K181" s="41"/>
      <c r="L181" s="41"/>
      <c r="M181" s="41"/>
      <c r="N181" s="41"/>
    </row>
    <row r="182" spans="1:14" ht="11.25" customHeight="1" x14ac:dyDescent="0.25">
      <c r="A182" s="583"/>
      <c r="B182" s="291">
        <v>183</v>
      </c>
      <c r="C182" s="205" t="s">
        <v>19</v>
      </c>
      <c r="D182" s="206" t="s">
        <v>306</v>
      </c>
      <c r="E182" s="241">
        <f>1*E181</f>
        <v>1</v>
      </c>
      <c r="F182" s="208">
        <v>83.2</v>
      </c>
      <c r="G182" s="210">
        <f t="shared" si="31"/>
        <v>83.2</v>
      </c>
      <c r="H182" s="678"/>
      <c r="I182" s="153"/>
      <c r="J182" s="41"/>
      <c r="K182" s="41"/>
      <c r="L182" s="41"/>
      <c r="M182" s="41"/>
      <c r="N182" s="41"/>
    </row>
    <row r="183" spans="1:14" ht="11.25" customHeight="1" thickBot="1" x14ac:dyDescent="0.3">
      <c r="A183" s="583"/>
      <c r="B183" s="291">
        <v>187</v>
      </c>
      <c r="C183" s="205" t="s">
        <v>307</v>
      </c>
      <c r="D183" s="206" t="s">
        <v>232</v>
      </c>
      <c r="E183" s="241">
        <f>10.2*E181</f>
        <v>10.199999999999999</v>
      </c>
      <c r="F183" s="208">
        <v>6.09</v>
      </c>
      <c r="G183" s="210">
        <f t="shared" si="31"/>
        <v>62.12</v>
      </c>
      <c r="H183" s="678"/>
      <c r="I183" s="153"/>
      <c r="J183" s="41"/>
      <c r="K183" s="41"/>
      <c r="L183" s="41"/>
      <c r="M183" s="41"/>
      <c r="N183" s="41"/>
    </row>
    <row r="184" spans="1:14" ht="11.25" customHeight="1" x14ac:dyDescent="0.25">
      <c r="A184" s="583"/>
      <c r="B184" s="621">
        <v>88261</v>
      </c>
      <c r="C184" s="430" t="s">
        <v>304</v>
      </c>
      <c r="D184" s="431" t="s">
        <v>257</v>
      </c>
      <c r="E184" s="432">
        <f>2.08*E181</f>
        <v>2.08</v>
      </c>
      <c r="F184" s="433">
        <v>14.71</v>
      </c>
      <c r="G184" s="481">
        <f t="shared" si="31"/>
        <v>30.6</v>
      </c>
      <c r="H184" s="737" t="s">
        <v>8</v>
      </c>
      <c r="I184" s="153"/>
      <c r="J184" s="41"/>
      <c r="K184" s="41"/>
      <c r="L184" s="41"/>
      <c r="M184" s="41"/>
      <c r="N184" s="41"/>
    </row>
    <row r="185" spans="1:14" ht="11.25" customHeight="1" x14ac:dyDescent="0.25">
      <c r="A185" s="583"/>
      <c r="B185" s="291">
        <v>4419</v>
      </c>
      <c r="C185" s="205" t="s">
        <v>309</v>
      </c>
      <c r="D185" s="206" t="s">
        <v>268</v>
      </c>
      <c r="E185" s="241">
        <f>6*E181</f>
        <v>6</v>
      </c>
      <c r="F185" s="208">
        <v>0.5</v>
      </c>
      <c r="G185" s="209">
        <f t="shared" si="31"/>
        <v>3</v>
      </c>
      <c r="H185" s="726">
        <f>I181-H187</f>
        <v>109.93</v>
      </c>
      <c r="I185" s="153"/>
      <c r="J185" s="41"/>
      <c r="K185" s="41"/>
      <c r="L185" s="41"/>
      <c r="M185" s="41"/>
      <c r="N185" s="41"/>
    </row>
    <row r="186" spans="1:14" ht="11.25" customHeight="1" x14ac:dyDescent="0.25">
      <c r="A186" s="583"/>
      <c r="B186" s="621">
        <v>88309</v>
      </c>
      <c r="C186" s="430" t="s">
        <v>710</v>
      </c>
      <c r="D186" s="431" t="s">
        <v>257</v>
      </c>
      <c r="E186" s="432">
        <f>1.4*E181</f>
        <v>1.4</v>
      </c>
      <c r="F186" s="433">
        <v>17.97</v>
      </c>
      <c r="G186" s="481">
        <f t="shared" si="31"/>
        <v>25.16</v>
      </c>
      <c r="H186" s="754" t="s">
        <v>9</v>
      </c>
      <c r="I186" s="153"/>
      <c r="J186" s="41"/>
      <c r="K186" s="41"/>
      <c r="L186" s="41"/>
      <c r="M186" s="41"/>
      <c r="N186" s="41"/>
    </row>
    <row r="187" spans="1:14" ht="11.25" customHeight="1" thickBot="1" x14ac:dyDescent="0.3">
      <c r="A187" s="583"/>
      <c r="B187" s="621">
        <v>88316</v>
      </c>
      <c r="C187" s="430" t="s">
        <v>690</v>
      </c>
      <c r="D187" s="431" t="s">
        <v>257</v>
      </c>
      <c r="E187" s="432">
        <f>3.995*E181</f>
        <v>3.9950000000000001</v>
      </c>
      <c r="F187" s="433">
        <v>13.56</v>
      </c>
      <c r="G187" s="481">
        <f t="shared" si="31"/>
        <v>54.17</v>
      </c>
      <c r="H187" s="755">
        <f>G182+G183+G185+SUM(G188:G192)</f>
        <v>321.10000000000002</v>
      </c>
      <c r="I187" s="153"/>
      <c r="J187" s="41"/>
      <c r="K187" s="41"/>
      <c r="L187" s="41"/>
      <c r="M187" s="41"/>
      <c r="N187" s="41"/>
    </row>
    <row r="188" spans="1:14" ht="11.25" customHeight="1" x14ac:dyDescent="0.25">
      <c r="A188" s="583"/>
      <c r="B188" s="291">
        <v>87373</v>
      </c>
      <c r="C188" s="205" t="s">
        <v>396</v>
      </c>
      <c r="D188" s="230" t="s">
        <v>12</v>
      </c>
      <c r="E188" s="241">
        <f>0.0102*E181</f>
        <v>1.0200000000000001E-2</v>
      </c>
      <c r="F188" s="208">
        <v>475.86</v>
      </c>
      <c r="G188" s="210">
        <f t="shared" si="31"/>
        <v>4.8499999999999996</v>
      </c>
      <c r="H188" s="678"/>
      <c r="I188" s="153"/>
      <c r="J188" s="41"/>
      <c r="K188" s="41"/>
      <c r="L188" s="41"/>
      <c r="M188" s="41"/>
      <c r="N188" s="41"/>
    </row>
    <row r="189" spans="1:14" ht="11.25" customHeight="1" x14ac:dyDescent="0.25">
      <c r="A189" s="583"/>
      <c r="B189" s="291">
        <v>4378</v>
      </c>
      <c r="C189" s="205" t="s">
        <v>545</v>
      </c>
      <c r="D189" s="206" t="s">
        <v>546</v>
      </c>
      <c r="E189" s="241">
        <f>6*E181</f>
        <v>6</v>
      </c>
      <c r="F189" s="208">
        <v>0.63</v>
      </c>
      <c r="G189" s="210">
        <f t="shared" si="31"/>
        <v>3.78</v>
      </c>
      <c r="H189" s="678"/>
      <c r="I189" s="153"/>
      <c r="J189" s="41"/>
      <c r="K189" s="41"/>
      <c r="L189" s="41"/>
      <c r="M189" s="41"/>
      <c r="N189" s="41"/>
    </row>
    <row r="190" spans="1:14" ht="11.25" customHeight="1" x14ac:dyDescent="0.25">
      <c r="A190" s="583"/>
      <c r="B190" s="291">
        <v>4987</v>
      </c>
      <c r="C190" s="205" t="s">
        <v>397</v>
      </c>
      <c r="D190" s="206" t="s">
        <v>268</v>
      </c>
      <c r="E190" s="241">
        <f>1*E181</f>
        <v>1</v>
      </c>
      <c r="F190" s="208">
        <v>103.72</v>
      </c>
      <c r="G190" s="210">
        <f t="shared" si="31"/>
        <v>103.72</v>
      </c>
      <c r="H190" s="678"/>
      <c r="I190" s="153"/>
      <c r="J190" s="41"/>
      <c r="K190" s="41"/>
      <c r="L190" s="41"/>
      <c r="M190" s="41"/>
      <c r="N190" s="41"/>
    </row>
    <row r="191" spans="1:14" ht="11.25" customHeight="1" x14ac:dyDescent="0.25">
      <c r="A191" s="583"/>
      <c r="B191" s="291">
        <v>11447</v>
      </c>
      <c r="C191" s="205" t="s">
        <v>305</v>
      </c>
      <c r="D191" s="206" t="s">
        <v>268</v>
      </c>
      <c r="E191" s="241">
        <f>3*E181</f>
        <v>3</v>
      </c>
      <c r="F191" s="208">
        <v>18.47</v>
      </c>
      <c r="G191" s="210">
        <f t="shared" si="31"/>
        <v>55.41</v>
      </c>
      <c r="H191" s="678"/>
      <c r="I191" s="153"/>
      <c r="J191" s="41"/>
      <c r="K191" s="41"/>
      <c r="L191" s="41"/>
      <c r="M191" s="41"/>
      <c r="N191" s="41"/>
    </row>
    <row r="192" spans="1:14" ht="11.25" customHeight="1" thickBot="1" x14ac:dyDescent="0.3">
      <c r="A192" s="584"/>
      <c r="B192" s="291">
        <v>20247</v>
      </c>
      <c r="C192" s="205" t="s">
        <v>308</v>
      </c>
      <c r="D192" s="206" t="s">
        <v>271</v>
      </c>
      <c r="E192" s="241">
        <f>0.612*E181</f>
        <v>0.61199999999999999</v>
      </c>
      <c r="F192" s="208">
        <v>8.1999999999999993</v>
      </c>
      <c r="G192" s="210">
        <f>F192*E192</f>
        <v>5.0199999999999996</v>
      </c>
      <c r="H192" s="678"/>
      <c r="I192" s="153"/>
      <c r="J192" s="41"/>
      <c r="K192" s="41"/>
      <c r="L192" s="41"/>
      <c r="M192" s="41"/>
      <c r="N192" s="41"/>
    </row>
    <row r="193" spans="1:13" ht="26.25" customHeight="1" x14ac:dyDescent="0.25">
      <c r="A193" s="582" t="s">
        <v>129</v>
      </c>
      <c r="B193" s="591" t="s">
        <v>402</v>
      </c>
      <c r="C193" s="42" t="s">
        <v>403</v>
      </c>
      <c r="D193" s="43" t="s">
        <v>268</v>
      </c>
      <c r="E193" s="44">
        <v>1</v>
      </c>
      <c r="F193" s="30">
        <f>SUM(G194:G204)/E193</f>
        <v>660.48</v>
      </c>
      <c r="G193" s="45">
        <f t="shared" ref="G193:G203" si="32">F193*E193</f>
        <v>660.48</v>
      </c>
      <c r="H193" s="677"/>
      <c r="I193" s="152"/>
      <c r="J193" s="123"/>
      <c r="K193" s="123"/>
      <c r="L193" s="41"/>
      <c r="M193" s="90"/>
    </row>
    <row r="194" spans="1:13" ht="23.25" thickBot="1" x14ac:dyDescent="0.3">
      <c r="A194" s="583"/>
      <c r="B194" s="291">
        <v>175</v>
      </c>
      <c r="C194" s="205" t="s">
        <v>404</v>
      </c>
      <c r="D194" s="206" t="s">
        <v>306</v>
      </c>
      <c r="E194" s="241">
        <f>1*E193</f>
        <v>1</v>
      </c>
      <c r="F194" s="208">
        <v>117.59</v>
      </c>
      <c r="G194" s="210">
        <f t="shared" si="32"/>
        <v>117.59</v>
      </c>
      <c r="H194" s="678"/>
      <c r="I194" s="153"/>
      <c r="J194" s="41"/>
      <c r="K194" s="41"/>
      <c r="L194" s="41"/>
      <c r="M194" s="41"/>
    </row>
    <row r="195" spans="1:13" ht="23.25" thickBot="1" x14ac:dyDescent="0.3">
      <c r="A195" s="583"/>
      <c r="B195" s="291">
        <v>187</v>
      </c>
      <c r="C195" s="205" t="s">
        <v>307</v>
      </c>
      <c r="D195" s="206" t="s">
        <v>232</v>
      </c>
      <c r="E195" s="241">
        <f>(2.15*4+2.1*2)*E193</f>
        <v>12.8</v>
      </c>
      <c r="F195" s="208">
        <v>6.09</v>
      </c>
      <c r="G195" s="210">
        <f t="shared" si="32"/>
        <v>77.95</v>
      </c>
      <c r="H195" s="678"/>
      <c r="I195" s="576">
        <f>H199+H197</f>
        <v>660.48</v>
      </c>
      <c r="J195" s="41"/>
      <c r="K195" s="41"/>
      <c r="L195" s="41"/>
      <c r="M195" s="41"/>
    </row>
    <row r="196" spans="1:13" x14ac:dyDescent="0.25">
      <c r="A196" s="583"/>
      <c r="B196" s="621">
        <v>88261</v>
      </c>
      <c r="C196" s="430" t="s">
        <v>304</v>
      </c>
      <c r="D196" s="431" t="s">
        <v>257</v>
      </c>
      <c r="E196" s="432">
        <f>2.08*E193</f>
        <v>2.08</v>
      </c>
      <c r="F196" s="433">
        <v>14.71</v>
      </c>
      <c r="G196" s="481">
        <f t="shared" si="32"/>
        <v>30.6</v>
      </c>
      <c r="H196" s="737" t="s">
        <v>8</v>
      </c>
      <c r="I196" s="153"/>
      <c r="J196" s="41"/>
      <c r="K196" s="41"/>
      <c r="L196" s="41"/>
      <c r="M196" s="41"/>
    </row>
    <row r="197" spans="1:13" ht="22.5" x14ac:dyDescent="0.25">
      <c r="A197" s="583"/>
      <c r="B197" s="291">
        <v>4419</v>
      </c>
      <c r="C197" s="205" t="s">
        <v>309</v>
      </c>
      <c r="D197" s="206" t="s">
        <v>268</v>
      </c>
      <c r="E197" s="241">
        <f>6*E193</f>
        <v>6</v>
      </c>
      <c r="F197" s="208">
        <v>0.5</v>
      </c>
      <c r="G197" s="209">
        <f t="shared" si="32"/>
        <v>3</v>
      </c>
      <c r="H197" s="726">
        <v>109.93</v>
      </c>
      <c r="I197" s="153"/>
      <c r="J197" s="41"/>
      <c r="K197" s="41"/>
      <c r="L197" s="41"/>
      <c r="M197" s="41"/>
    </row>
    <row r="198" spans="1:13" x14ac:dyDescent="0.25">
      <c r="A198" s="583"/>
      <c r="B198" s="621">
        <v>88309</v>
      </c>
      <c r="C198" s="430" t="s">
        <v>710</v>
      </c>
      <c r="D198" s="431" t="s">
        <v>257</v>
      </c>
      <c r="E198" s="432">
        <f>1.4*E193</f>
        <v>1.4</v>
      </c>
      <c r="F198" s="433">
        <v>17.97</v>
      </c>
      <c r="G198" s="481">
        <f t="shared" si="32"/>
        <v>25.16</v>
      </c>
      <c r="H198" s="754" t="s">
        <v>9</v>
      </c>
      <c r="I198" s="153"/>
      <c r="J198" s="41"/>
      <c r="K198" s="41"/>
      <c r="L198" s="41"/>
      <c r="M198" s="41"/>
    </row>
    <row r="199" spans="1:13" ht="12" thickBot="1" x14ac:dyDescent="0.3">
      <c r="A199" s="583"/>
      <c r="B199" s="621">
        <v>88316</v>
      </c>
      <c r="C199" s="430" t="s">
        <v>690</v>
      </c>
      <c r="D199" s="431" t="s">
        <v>257</v>
      </c>
      <c r="E199" s="432">
        <f>3.995*E193</f>
        <v>3.9950000000000001</v>
      </c>
      <c r="F199" s="433">
        <v>13.56</v>
      </c>
      <c r="G199" s="481">
        <f t="shared" si="32"/>
        <v>54.17</v>
      </c>
      <c r="H199" s="755">
        <f>G194+G195+G197+SUM(G200:G204)</f>
        <v>550.54999999999995</v>
      </c>
      <c r="I199" s="153"/>
      <c r="J199" s="41"/>
      <c r="K199" s="41"/>
      <c r="L199" s="41"/>
      <c r="M199" s="41"/>
    </row>
    <row r="200" spans="1:13" ht="15" x14ac:dyDescent="0.25">
      <c r="A200" s="583"/>
      <c r="B200" s="291">
        <v>87373</v>
      </c>
      <c r="C200" s="205" t="s">
        <v>396</v>
      </c>
      <c r="D200" s="230" t="s">
        <v>12</v>
      </c>
      <c r="E200" s="241">
        <f>0.0116*E193</f>
        <v>1.1599999999999999E-2</v>
      </c>
      <c r="F200" s="208">
        <v>475.86</v>
      </c>
      <c r="G200" s="210">
        <f t="shared" si="32"/>
        <v>5.52</v>
      </c>
      <c r="H200" s="678"/>
      <c r="I200" s="153"/>
      <c r="J200" s="41"/>
      <c r="K200" s="41"/>
      <c r="L200" s="41"/>
      <c r="M200" s="41"/>
    </row>
    <row r="201" spans="1:13" x14ac:dyDescent="0.25">
      <c r="A201" s="583"/>
      <c r="B201" s="291">
        <v>4378</v>
      </c>
      <c r="C201" s="205" t="s">
        <v>545</v>
      </c>
      <c r="D201" s="206" t="s">
        <v>546</v>
      </c>
      <c r="E201" s="241">
        <f>12*E193</f>
        <v>12</v>
      </c>
      <c r="F201" s="208">
        <v>0.63</v>
      </c>
      <c r="G201" s="210">
        <f t="shared" si="32"/>
        <v>7.56</v>
      </c>
      <c r="H201" s="678"/>
      <c r="I201" s="153"/>
      <c r="J201" s="41"/>
      <c r="K201" s="41"/>
      <c r="L201" s="41"/>
      <c r="M201" s="41"/>
    </row>
    <row r="202" spans="1:13" ht="22.5" x14ac:dyDescent="0.25">
      <c r="A202" s="583"/>
      <c r="B202" s="291">
        <v>4989</v>
      </c>
      <c r="C202" s="205" t="s">
        <v>401</v>
      </c>
      <c r="D202" s="206" t="s">
        <v>268</v>
      </c>
      <c r="E202" s="241">
        <f>2*E193</f>
        <v>2</v>
      </c>
      <c r="F202" s="208">
        <v>111.2</v>
      </c>
      <c r="G202" s="210">
        <f t="shared" si="32"/>
        <v>222.4</v>
      </c>
      <c r="H202" s="678"/>
      <c r="I202" s="153"/>
      <c r="J202" s="41"/>
      <c r="K202" s="41"/>
      <c r="L202" s="41"/>
      <c r="M202" s="41"/>
    </row>
    <row r="203" spans="1:13" x14ac:dyDescent="0.25">
      <c r="A203" s="583"/>
      <c r="B203" s="291">
        <v>11447</v>
      </c>
      <c r="C203" s="205" t="s">
        <v>305</v>
      </c>
      <c r="D203" s="206" t="s">
        <v>268</v>
      </c>
      <c r="E203" s="241">
        <f>6*E193</f>
        <v>6</v>
      </c>
      <c r="F203" s="208">
        <v>18.47</v>
      </c>
      <c r="G203" s="210">
        <f t="shared" si="32"/>
        <v>110.82</v>
      </c>
      <c r="H203" s="678"/>
      <c r="I203" s="153"/>
      <c r="J203" s="41"/>
      <c r="K203" s="41"/>
      <c r="L203" s="41"/>
      <c r="M203" s="41"/>
    </row>
    <row r="204" spans="1:13" ht="12" thickBot="1" x14ac:dyDescent="0.3">
      <c r="A204" s="584"/>
      <c r="B204" s="592">
        <v>20247</v>
      </c>
      <c r="C204" s="243" t="s">
        <v>308</v>
      </c>
      <c r="D204" s="244" t="s">
        <v>271</v>
      </c>
      <c r="E204" s="245">
        <f>0.696*E193</f>
        <v>0.69599999999999995</v>
      </c>
      <c r="F204" s="246">
        <v>8.1999999999999993</v>
      </c>
      <c r="G204" s="247">
        <f>F204*E204</f>
        <v>5.71</v>
      </c>
      <c r="H204" s="678"/>
      <c r="I204" s="153"/>
      <c r="J204" s="41"/>
      <c r="K204" s="41"/>
      <c r="L204" s="41"/>
      <c r="M204" s="41"/>
    </row>
    <row r="205" spans="1:13" ht="22.5" x14ac:dyDescent="0.25">
      <c r="A205" s="582" t="s">
        <v>130</v>
      </c>
      <c r="B205" s="307" t="s">
        <v>542</v>
      </c>
      <c r="C205" s="27" t="s">
        <v>405</v>
      </c>
      <c r="D205" s="28" t="s">
        <v>270</v>
      </c>
      <c r="E205" s="134">
        <f>2.5*2.5</f>
        <v>6.25</v>
      </c>
      <c r="F205" s="30">
        <f>SUM(G206:G215)/E205</f>
        <v>334.88</v>
      </c>
      <c r="G205" s="45">
        <f>F205*E205</f>
        <v>2093</v>
      </c>
      <c r="H205" s="678"/>
      <c r="I205" s="153"/>
      <c r="J205" s="41"/>
      <c r="K205" s="41"/>
      <c r="L205" s="41"/>
      <c r="M205" s="41"/>
    </row>
    <row r="206" spans="1:13" ht="12" thickBot="1" x14ac:dyDescent="0.3">
      <c r="A206" s="583"/>
      <c r="B206" s="429">
        <v>4750</v>
      </c>
      <c r="C206" s="430" t="s">
        <v>261</v>
      </c>
      <c r="D206" s="431" t="s">
        <v>257</v>
      </c>
      <c r="E206" s="432">
        <f>1*E205</f>
        <v>6.25</v>
      </c>
      <c r="F206" s="433">
        <v>14.79</v>
      </c>
      <c r="G206" s="434">
        <f t="shared" ref="G206:G221" si="33">F206*E206</f>
        <v>92.44</v>
      </c>
      <c r="H206" s="678"/>
      <c r="I206" s="153"/>
      <c r="J206" s="41"/>
      <c r="K206" s="41"/>
      <c r="L206" s="41"/>
      <c r="M206" s="41"/>
    </row>
    <row r="207" spans="1:13" ht="12" thickBot="1" x14ac:dyDescent="0.3">
      <c r="A207" s="583"/>
      <c r="B207" s="429">
        <v>6111</v>
      </c>
      <c r="C207" s="430" t="s">
        <v>274</v>
      </c>
      <c r="D207" s="431" t="s">
        <v>257</v>
      </c>
      <c r="E207" s="432">
        <f>1*E205</f>
        <v>6.25</v>
      </c>
      <c r="F207" s="433">
        <v>10.49</v>
      </c>
      <c r="G207" s="434">
        <f t="shared" si="33"/>
        <v>65.56</v>
      </c>
      <c r="H207" s="678"/>
      <c r="I207" s="575">
        <f>H211+H209</f>
        <v>2093</v>
      </c>
      <c r="J207" s="41"/>
      <c r="K207" s="41"/>
      <c r="L207" s="41"/>
      <c r="M207" s="41"/>
    </row>
    <row r="208" spans="1:13" x14ac:dyDescent="0.25">
      <c r="A208" s="583"/>
      <c r="B208" s="429">
        <v>6110</v>
      </c>
      <c r="C208" s="430" t="s">
        <v>310</v>
      </c>
      <c r="D208" s="431" t="s">
        <v>257</v>
      </c>
      <c r="E208" s="432">
        <f>2*E205</f>
        <v>12.5</v>
      </c>
      <c r="F208" s="433">
        <v>15.17</v>
      </c>
      <c r="G208" s="434">
        <f t="shared" si="33"/>
        <v>189.63</v>
      </c>
      <c r="H208" s="765" t="s">
        <v>8</v>
      </c>
      <c r="I208" s="153"/>
      <c r="J208" s="41"/>
      <c r="K208" s="41"/>
      <c r="L208" s="41"/>
      <c r="M208" s="41"/>
    </row>
    <row r="209" spans="1:13" x14ac:dyDescent="0.25">
      <c r="A209" s="583"/>
      <c r="B209" s="429">
        <v>242</v>
      </c>
      <c r="C209" s="430" t="s">
        <v>296</v>
      </c>
      <c r="D209" s="431" t="s">
        <v>257</v>
      </c>
      <c r="E209" s="432">
        <f>2*E205</f>
        <v>12.5</v>
      </c>
      <c r="F209" s="433">
        <v>11.41</v>
      </c>
      <c r="G209" s="434">
        <f t="shared" si="33"/>
        <v>142.63</v>
      </c>
      <c r="H209" s="766">
        <f>(G206+G207+G208+G209+G210)</f>
        <v>527.34</v>
      </c>
      <c r="I209" s="153"/>
      <c r="J209" s="41"/>
      <c r="K209" s="41"/>
      <c r="L209" s="41"/>
      <c r="M209" s="41"/>
    </row>
    <row r="210" spans="1:13" x14ac:dyDescent="0.25">
      <c r="A210" s="583"/>
      <c r="B210" s="429">
        <v>4783</v>
      </c>
      <c r="C210" s="430" t="s">
        <v>279</v>
      </c>
      <c r="D210" s="431" t="s">
        <v>257</v>
      </c>
      <c r="E210" s="432">
        <f>0.4*E205</f>
        <v>2.5</v>
      </c>
      <c r="F210" s="433">
        <v>14.83</v>
      </c>
      <c r="G210" s="434">
        <f>F210*E210</f>
        <v>37.08</v>
      </c>
      <c r="H210" s="806" t="s">
        <v>9</v>
      </c>
      <c r="I210" s="153"/>
      <c r="J210" s="41"/>
      <c r="K210" s="41"/>
      <c r="L210" s="41"/>
      <c r="M210" s="41"/>
    </row>
    <row r="211" spans="1:13" ht="23.25" thickBot="1" x14ac:dyDescent="0.3">
      <c r="A211" s="583"/>
      <c r="B211" s="204">
        <v>4929</v>
      </c>
      <c r="C211" s="205" t="s">
        <v>406</v>
      </c>
      <c r="D211" s="206" t="s">
        <v>270</v>
      </c>
      <c r="E211" s="241">
        <f>1*E205</f>
        <v>6.25</v>
      </c>
      <c r="F211" s="208">
        <v>160.91</v>
      </c>
      <c r="G211" s="210">
        <f t="shared" si="33"/>
        <v>1005.69</v>
      </c>
      <c r="H211" s="817">
        <f>G205-H209</f>
        <v>1565.66</v>
      </c>
      <c r="I211" s="153"/>
      <c r="J211" s="41"/>
      <c r="K211" s="41"/>
      <c r="L211" s="41"/>
      <c r="M211" s="41"/>
    </row>
    <row r="212" spans="1:13" ht="22.5" x14ac:dyDescent="0.25">
      <c r="A212" s="583"/>
      <c r="B212" s="204">
        <v>11575</v>
      </c>
      <c r="C212" s="205" t="s">
        <v>407</v>
      </c>
      <c r="D212" s="206" t="s">
        <v>268</v>
      </c>
      <c r="E212" s="241">
        <f>0.5*E205</f>
        <v>3.125</v>
      </c>
      <c r="F212" s="208">
        <v>27.08</v>
      </c>
      <c r="G212" s="210">
        <f t="shared" si="33"/>
        <v>84.63</v>
      </c>
      <c r="H212" s="688"/>
      <c r="I212" s="153"/>
      <c r="J212" s="41"/>
      <c r="K212" s="41"/>
      <c r="L212" s="41"/>
      <c r="M212" s="41"/>
    </row>
    <row r="213" spans="1:13" ht="18.75" customHeight="1" x14ac:dyDescent="0.25">
      <c r="A213" s="583"/>
      <c r="B213" s="204">
        <v>13340</v>
      </c>
      <c r="C213" s="205" t="s">
        <v>408</v>
      </c>
      <c r="D213" s="206" t="s">
        <v>232</v>
      </c>
      <c r="E213" s="241">
        <f>0.8*E205</f>
        <v>5</v>
      </c>
      <c r="F213" s="208">
        <v>16.84</v>
      </c>
      <c r="G213" s="210">
        <f>F213*E213</f>
        <v>84.2</v>
      </c>
      <c r="H213" s="688"/>
      <c r="I213" s="153"/>
      <c r="J213" s="41"/>
      <c r="K213" s="41"/>
      <c r="L213" s="41"/>
      <c r="M213" s="41"/>
    </row>
    <row r="214" spans="1:13" x14ac:dyDescent="0.25">
      <c r="A214" s="583"/>
      <c r="B214" s="204">
        <v>87373</v>
      </c>
      <c r="C214" s="240" t="s">
        <v>20</v>
      </c>
      <c r="D214" s="206" t="s">
        <v>272</v>
      </c>
      <c r="E214" s="241">
        <f>0.006*E205</f>
        <v>3.7499999999999999E-2</v>
      </c>
      <c r="F214" s="208">
        <v>475.86</v>
      </c>
      <c r="G214" s="210">
        <f t="shared" si="33"/>
        <v>17.84</v>
      </c>
      <c r="H214" s="678"/>
      <c r="I214" s="153"/>
      <c r="J214" s="41"/>
      <c r="K214" s="41"/>
      <c r="L214" s="41"/>
      <c r="M214" s="41"/>
    </row>
    <row r="215" spans="1:13" ht="12" thickBot="1" x14ac:dyDescent="0.3">
      <c r="A215" s="584"/>
      <c r="B215" s="211" t="s">
        <v>16</v>
      </c>
      <c r="C215" s="216" t="s">
        <v>18</v>
      </c>
      <c r="D215" s="212" t="s">
        <v>280</v>
      </c>
      <c r="E215" s="271">
        <f>0.32*E205</f>
        <v>2</v>
      </c>
      <c r="F215" s="214">
        <v>186.66</v>
      </c>
      <c r="G215" s="215">
        <f t="shared" si="33"/>
        <v>373.32</v>
      </c>
      <c r="H215" s="678"/>
      <c r="I215" s="153"/>
      <c r="J215" s="41"/>
      <c r="K215" s="41"/>
      <c r="L215" s="41"/>
      <c r="M215" s="41"/>
    </row>
    <row r="216" spans="1:13" ht="27.75" customHeight="1" thickBot="1" x14ac:dyDescent="0.25">
      <c r="A216" s="582" t="s">
        <v>131</v>
      </c>
      <c r="B216" s="370" t="s">
        <v>543</v>
      </c>
      <c r="C216" s="171" t="s">
        <v>409</v>
      </c>
      <c r="D216" s="172" t="s">
        <v>268</v>
      </c>
      <c r="E216" s="173">
        <v>1</v>
      </c>
      <c r="F216" s="174">
        <f>SUM(G217:G221)/E216</f>
        <v>2598.1999999999998</v>
      </c>
      <c r="G216" s="175">
        <f>F216*E216</f>
        <v>2598.1999999999998</v>
      </c>
      <c r="H216" s="775" t="s">
        <v>8</v>
      </c>
      <c r="I216" s="575">
        <f>H217+H220</f>
        <v>2598.1999999999998</v>
      </c>
      <c r="J216" s="41"/>
      <c r="K216" s="41"/>
      <c r="L216" s="41"/>
      <c r="M216" s="41"/>
    </row>
    <row r="217" spans="1:13" x14ac:dyDescent="0.25">
      <c r="A217" s="583"/>
      <c r="B217" s="769">
        <v>10489</v>
      </c>
      <c r="C217" s="770" t="s">
        <v>313</v>
      </c>
      <c r="D217" s="771" t="s">
        <v>257</v>
      </c>
      <c r="E217" s="772">
        <f>10*E216</f>
        <v>10</v>
      </c>
      <c r="F217" s="773">
        <v>12.75</v>
      </c>
      <c r="G217" s="774">
        <f t="shared" si="33"/>
        <v>127.5</v>
      </c>
      <c r="H217" s="726">
        <f>(G217+G218)/E216</f>
        <v>241.6</v>
      </c>
      <c r="I217" s="153"/>
      <c r="J217" s="41"/>
      <c r="K217" s="41"/>
      <c r="L217" s="41"/>
      <c r="M217" s="41"/>
    </row>
    <row r="218" spans="1:13" x14ac:dyDescent="0.25">
      <c r="A218" s="583"/>
      <c r="B218" s="429">
        <v>242</v>
      </c>
      <c r="C218" s="430" t="s">
        <v>296</v>
      </c>
      <c r="D218" s="431" t="s">
        <v>257</v>
      </c>
      <c r="E218" s="432">
        <f>10*E216</f>
        <v>10</v>
      </c>
      <c r="F218" s="433">
        <v>11.41</v>
      </c>
      <c r="G218" s="481">
        <f>F218*E218</f>
        <v>114.1</v>
      </c>
      <c r="H218" s="59"/>
      <c r="I218" s="153"/>
      <c r="J218" s="41"/>
      <c r="K218" s="41"/>
      <c r="L218" s="41"/>
      <c r="M218" s="41"/>
    </row>
    <row r="219" spans="1:13" x14ac:dyDescent="0.25">
      <c r="A219" s="583"/>
      <c r="B219" s="248">
        <v>11523</v>
      </c>
      <c r="C219" s="249" t="s">
        <v>410</v>
      </c>
      <c r="D219" s="250" t="s">
        <v>268</v>
      </c>
      <c r="E219" s="251">
        <f>2*E216</f>
        <v>2</v>
      </c>
      <c r="F219" s="252">
        <v>8.26</v>
      </c>
      <c r="G219" s="253">
        <f t="shared" si="33"/>
        <v>16.52</v>
      </c>
      <c r="H219" s="754" t="s">
        <v>9</v>
      </c>
      <c r="I219" s="153"/>
      <c r="J219" s="41"/>
      <c r="K219" s="41"/>
      <c r="L219" s="41"/>
      <c r="M219" s="41"/>
    </row>
    <row r="220" spans="1:13" ht="12" thickBot="1" x14ac:dyDescent="0.3">
      <c r="A220" s="583"/>
      <c r="B220" s="248">
        <v>10507</v>
      </c>
      <c r="C220" s="249" t="s">
        <v>411</v>
      </c>
      <c r="D220" s="250" t="s">
        <v>270</v>
      </c>
      <c r="E220" s="251">
        <f>12*E216</f>
        <v>12</v>
      </c>
      <c r="F220" s="252">
        <v>169.12</v>
      </c>
      <c r="G220" s="253">
        <f t="shared" si="33"/>
        <v>2029.44</v>
      </c>
      <c r="H220" s="755">
        <f>F216-H217</f>
        <v>2356.6</v>
      </c>
      <c r="I220" s="153"/>
      <c r="J220" s="41"/>
      <c r="K220" s="41"/>
      <c r="L220" s="41"/>
      <c r="M220" s="41"/>
    </row>
    <row r="221" spans="1:13" ht="12" thickBot="1" x14ac:dyDescent="0.3">
      <c r="A221" s="584"/>
      <c r="B221" s="254">
        <v>3104</v>
      </c>
      <c r="C221" s="255" t="s">
        <v>412</v>
      </c>
      <c r="D221" s="256" t="s">
        <v>253</v>
      </c>
      <c r="E221" s="257">
        <f>1*E216</f>
        <v>1</v>
      </c>
      <c r="F221" s="258">
        <v>310.64</v>
      </c>
      <c r="G221" s="259">
        <f t="shared" si="33"/>
        <v>310.64</v>
      </c>
      <c r="H221" s="678"/>
      <c r="I221" s="153"/>
      <c r="J221" s="41"/>
      <c r="K221" s="41"/>
      <c r="L221" s="41"/>
      <c r="M221" s="41"/>
    </row>
    <row r="222" spans="1:13" ht="30" customHeight="1" thickBot="1" x14ac:dyDescent="0.25">
      <c r="A222" s="582" t="s">
        <v>132</v>
      </c>
      <c r="B222" s="370" t="s">
        <v>544</v>
      </c>
      <c r="C222" s="171" t="s">
        <v>413</v>
      </c>
      <c r="D222" s="172" t="s">
        <v>268</v>
      </c>
      <c r="E222" s="173">
        <v>1</v>
      </c>
      <c r="F222" s="174">
        <f>SUM(G223:G227)/E222</f>
        <v>2344.52</v>
      </c>
      <c r="G222" s="175">
        <f>F222*E222</f>
        <v>2344.52</v>
      </c>
      <c r="H222" s="775" t="s">
        <v>8</v>
      </c>
      <c r="I222" s="575">
        <f>H223+H226</f>
        <v>2344.52</v>
      </c>
      <c r="J222" s="41"/>
      <c r="K222" s="41"/>
      <c r="L222" s="41"/>
      <c r="M222" s="41"/>
    </row>
    <row r="223" spans="1:13" x14ac:dyDescent="0.25">
      <c r="A223" s="583"/>
      <c r="B223" s="769">
        <v>10489</v>
      </c>
      <c r="C223" s="770" t="s">
        <v>313</v>
      </c>
      <c r="D223" s="771" t="s">
        <v>257</v>
      </c>
      <c r="E223" s="772">
        <f>10*E222</f>
        <v>10</v>
      </c>
      <c r="F223" s="773">
        <v>12.75</v>
      </c>
      <c r="G223" s="774">
        <f t="shared" ref="G223:G235" si="34">F223*E223</f>
        <v>127.5</v>
      </c>
      <c r="H223" s="726">
        <f>(G223+G224)/E222</f>
        <v>241.6</v>
      </c>
      <c r="I223" s="153"/>
      <c r="J223" s="41"/>
      <c r="K223" s="41"/>
      <c r="L223" s="41"/>
      <c r="M223" s="41"/>
    </row>
    <row r="224" spans="1:13" x14ac:dyDescent="0.25">
      <c r="A224" s="583"/>
      <c r="B224" s="429">
        <v>242</v>
      </c>
      <c r="C224" s="430" t="s">
        <v>296</v>
      </c>
      <c r="D224" s="431" t="s">
        <v>257</v>
      </c>
      <c r="E224" s="432">
        <f>10*E222</f>
        <v>10</v>
      </c>
      <c r="F224" s="433">
        <v>11.41</v>
      </c>
      <c r="G224" s="481">
        <f t="shared" si="34"/>
        <v>114.1</v>
      </c>
      <c r="H224" s="59"/>
      <c r="I224" s="153"/>
      <c r="J224" s="41"/>
      <c r="K224" s="41"/>
      <c r="L224" s="41"/>
      <c r="M224" s="41"/>
    </row>
    <row r="225" spans="1:13" x14ac:dyDescent="0.25">
      <c r="A225" s="583"/>
      <c r="B225" s="248">
        <v>11523</v>
      </c>
      <c r="C225" s="249" t="s">
        <v>410</v>
      </c>
      <c r="D225" s="250" t="s">
        <v>268</v>
      </c>
      <c r="E225" s="251">
        <f>2*E222</f>
        <v>2</v>
      </c>
      <c r="F225" s="252">
        <v>8.26</v>
      </c>
      <c r="G225" s="253">
        <f t="shared" si="34"/>
        <v>16.52</v>
      </c>
      <c r="H225" s="754" t="s">
        <v>9</v>
      </c>
      <c r="I225" s="153"/>
      <c r="J225" s="41"/>
      <c r="K225" s="41"/>
      <c r="L225" s="41"/>
      <c r="M225" s="41"/>
    </row>
    <row r="226" spans="1:13" ht="12" thickBot="1" x14ac:dyDescent="0.3">
      <c r="A226" s="583"/>
      <c r="B226" s="248">
        <v>10507</v>
      </c>
      <c r="C226" s="249" t="s">
        <v>411</v>
      </c>
      <c r="D226" s="250" t="s">
        <v>270</v>
      </c>
      <c r="E226" s="251">
        <f>3.5*3*E222</f>
        <v>10.5</v>
      </c>
      <c r="F226" s="252">
        <v>169.12</v>
      </c>
      <c r="G226" s="253">
        <f t="shared" si="34"/>
        <v>1775.76</v>
      </c>
      <c r="H226" s="755">
        <f>F222-H223</f>
        <v>2102.92</v>
      </c>
      <c r="I226" s="153"/>
      <c r="J226" s="41"/>
      <c r="K226" s="41"/>
      <c r="L226" s="41"/>
      <c r="M226" s="41"/>
    </row>
    <row r="227" spans="1:13" ht="12" thickBot="1" x14ac:dyDescent="0.3">
      <c r="A227" s="584"/>
      <c r="B227" s="254">
        <v>3104</v>
      </c>
      <c r="C227" s="255" t="s">
        <v>412</v>
      </c>
      <c r="D227" s="256" t="s">
        <v>253</v>
      </c>
      <c r="E227" s="257">
        <f>1*E222</f>
        <v>1</v>
      </c>
      <c r="F227" s="258">
        <v>310.64</v>
      </c>
      <c r="G227" s="259">
        <f t="shared" si="34"/>
        <v>310.64</v>
      </c>
      <c r="H227" s="678"/>
      <c r="I227" s="153"/>
      <c r="J227" s="41"/>
      <c r="K227" s="41"/>
      <c r="L227" s="41"/>
      <c r="M227" s="41"/>
    </row>
    <row r="228" spans="1:13" ht="23.25" thickBot="1" x14ac:dyDescent="0.3">
      <c r="A228" s="582" t="s">
        <v>133</v>
      </c>
      <c r="B228" s="305" t="s">
        <v>414</v>
      </c>
      <c r="C228" s="91" t="s">
        <v>415</v>
      </c>
      <c r="D228" s="43" t="s">
        <v>268</v>
      </c>
      <c r="E228" s="75">
        <v>1</v>
      </c>
      <c r="F228" s="30">
        <f>SUM(G229:G231)/E228</f>
        <v>180.41</v>
      </c>
      <c r="G228" s="74">
        <f t="shared" si="34"/>
        <v>180.41</v>
      </c>
      <c r="H228" s="737" t="s">
        <v>8</v>
      </c>
      <c r="I228" s="576">
        <v>180.41</v>
      </c>
      <c r="J228" s="41"/>
      <c r="K228" s="41"/>
      <c r="L228" s="41"/>
      <c r="M228" s="41"/>
    </row>
    <row r="229" spans="1:13" ht="22.5" x14ac:dyDescent="0.25">
      <c r="A229" s="583"/>
      <c r="B229" s="429">
        <v>88239</v>
      </c>
      <c r="C229" s="430" t="s">
        <v>704</v>
      </c>
      <c r="D229" s="431" t="s">
        <v>257</v>
      </c>
      <c r="E229" s="371">
        <f>1.484*E228</f>
        <v>1.484</v>
      </c>
      <c r="F229" s="433">
        <v>14.19</v>
      </c>
      <c r="G229" s="481">
        <f t="shared" si="34"/>
        <v>21.06</v>
      </c>
      <c r="H229" s="726">
        <f>I228-H231</f>
        <v>41.36</v>
      </c>
      <c r="I229" s="153"/>
      <c r="J229" s="41"/>
      <c r="K229" s="41"/>
      <c r="L229" s="41"/>
      <c r="M229" s="41"/>
    </row>
    <row r="230" spans="1:13" x14ac:dyDescent="0.25">
      <c r="A230" s="583"/>
      <c r="B230" s="429">
        <v>88261</v>
      </c>
      <c r="C230" s="430" t="s">
        <v>304</v>
      </c>
      <c r="D230" s="431" t="s">
        <v>257</v>
      </c>
      <c r="E230" s="371">
        <f>1.484*E228</f>
        <v>1.484</v>
      </c>
      <c r="F230" s="433">
        <v>13.68</v>
      </c>
      <c r="G230" s="481">
        <f t="shared" si="34"/>
        <v>20.3</v>
      </c>
      <c r="H230" s="754" t="s">
        <v>9</v>
      </c>
      <c r="I230" s="153"/>
      <c r="J230" s="41"/>
      <c r="K230" s="41"/>
      <c r="L230" s="41"/>
      <c r="M230" s="41"/>
    </row>
    <row r="231" spans="1:13" ht="23.25" thickBot="1" x14ac:dyDescent="0.3">
      <c r="A231" s="584"/>
      <c r="B231" s="260">
        <v>3092</v>
      </c>
      <c r="C231" s="261" t="s">
        <v>17</v>
      </c>
      <c r="D231" s="262" t="s">
        <v>269</v>
      </c>
      <c r="E231" s="263">
        <f>1*E228</f>
        <v>1</v>
      </c>
      <c r="F231" s="264">
        <v>139.05000000000001</v>
      </c>
      <c r="G231" s="209">
        <f t="shared" si="34"/>
        <v>139.05000000000001</v>
      </c>
      <c r="H231" s="755">
        <f>G231</f>
        <v>139.05000000000001</v>
      </c>
      <c r="I231" s="153"/>
      <c r="J231" s="41"/>
      <c r="K231" s="41"/>
      <c r="L231" s="41"/>
      <c r="M231" s="41"/>
    </row>
    <row r="232" spans="1:13" ht="21.75" customHeight="1" thickBot="1" x14ac:dyDescent="0.3">
      <c r="A232" s="582" t="s">
        <v>134</v>
      </c>
      <c r="B232" s="305" t="s">
        <v>416</v>
      </c>
      <c r="C232" s="91" t="s">
        <v>729</v>
      </c>
      <c r="D232" s="43" t="s">
        <v>268</v>
      </c>
      <c r="E232" s="75">
        <v>1</v>
      </c>
      <c r="F232" s="30">
        <f>SUM(G233:G235)/E232</f>
        <v>69.45</v>
      </c>
      <c r="G232" s="74">
        <f t="shared" si="34"/>
        <v>69.45</v>
      </c>
      <c r="H232" s="737" t="s">
        <v>8</v>
      </c>
      <c r="I232" s="576">
        <v>69.45</v>
      </c>
      <c r="J232" s="41"/>
      <c r="K232" s="41"/>
      <c r="L232" s="41"/>
      <c r="M232" s="41"/>
    </row>
    <row r="233" spans="1:13" ht="22.5" x14ac:dyDescent="0.25">
      <c r="A233" s="583"/>
      <c r="B233" s="429">
        <v>88239</v>
      </c>
      <c r="C233" s="430" t="s">
        <v>704</v>
      </c>
      <c r="D233" s="431" t="s">
        <v>257</v>
      </c>
      <c r="E233" s="371">
        <f>1.4835*E232</f>
        <v>1.4835</v>
      </c>
      <c r="F233" s="433">
        <v>14.19</v>
      </c>
      <c r="G233" s="481">
        <f t="shared" ref="G233:G234" si="35">F233*E233</f>
        <v>21.05</v>
      </c>
      <c r="H233" s="726">
        <f>I232-H235</f>
        <v>41.35</v>
      </c>
      <c r="I233" s="153"/>
      <c r="J233" s="41"/>
      <c r="K233" s="41"/>
      <c r="L233" s="41"/>
      <c r="M233" s="41"/>
    </row>
    <row r="234" spans="1:13" x14ac:dyDescent="0.25">
      <c r="A234" s="583"/>
      <c r="B234" s="429">
        <v>88261</v>
      </c>
      <c r="C234" s="430" t="s">
        <v>304</v>
      </c>
      <c r="D234" s="431" t="s">
        <v>257</v>
      </c>
      <c r="E234" s="371">
        <f>1.4836*E232</f>
        <v>1.4836</v>
      </c>
      <c r="F234" s="433">
        <v>13.68</v>
      </c>
      <c r="G234" s="481">
        <f t="shared" si="35"/>
        <v>20.3</v>
      </c>
      <c r="H234" s="754" t="s">
        <v>9</v>
      </c>
      <c r="I234" s="153"/>
      <c r="J234" s="41"/>
      <c r="K234" s="41"/>
      <c r="L234" s="41"/>
      <c r="M234" s="41"/>
    </row>
    <row r="235" spans="1:13" ht="24.75" customHeight="1" thickBot="1" x14ac:dyDescent="0.3">
      <c r="A235" s="584"/>
      <c r="B235" s="265">
        <v>3097</v>
      </c>
      <c r="C235" s="266" t="s">
        <v>417</v>
      </c>
      <c r="D235" s="267" t="s">
        <v>269</v>
      </c>
      <c r="E235" s="268">
        <f>1*E232</f>
        <v>1</v>
      </c>
      <c r="F235" s="269">
        <v>28.1</v>
      </c>
      <c r="G235" s="270">
        <f t="shared" si="34"/>
        <v>28.1</v>
      </c>
      <c r="H235" s="755">
        <f>G235</f>
        <v>28.1</v>
      </c>
      <c r="I235" s="153"/>
      <c r="J235" s="41"/>
      <c r="K235" s="41"/>
      <c r="L235" s="41"/>
      <c r="M235" s="41"/>
    </row>
    <row r="236" spans="1:13" ht="13.5" thickBot="1" x14ac:dyDescent="0.3">
      <c r="A236" s="582" t="s">
        <v>1060</v>
      </c>
      <c r="B236" s="305" t="s">
        <v>730</v>
      </c>
      <c r="C236" s="177" t="s">
        <v>418</v>
      </c>
      <c r="D236" s="43" t="s">
        <v>270</v>
      </c>
      <c r="E236" s="44">
        <v>1</v>
      </c>
      <c r="F236" s="30">
        <f>SUM(G237:G241)/E236</f>
        <v>300.20999999999998</v>
      </c>
      <c r="G236" s="45">
        <f t="shared" ref="G236:G247" si="36">F236*E236</f>
        <v>300.20999999999998</v>
      </c>
      <c r="H236" s="678"/>
      <c r="I236" s="153"/>
      <c r="J236" s="89"/>
      <c r="K236" s="41"/>
      <c r="L236" s="41"/>
      <c r="M236" s="90"/>
    </row>
    <row r="237" spans="1:13" ht="21" customHeight="1" x14ac:dyDescent="0.25">
      <c r="A237" s="583"/>
      <c r="B237" s="204">
        <v>601</v>
      </c>
      <c r="C237" s="205" t="s">
        <v>419</v>
      </c>
      <c r="D237" s="206" t="s">
        <v>270</v>
      </c>
      <c r="E237" s="241">
        <f>1*E236</f>
        <v>1</v>
      </c>
      <c r="F237" s="208">
        <v>272.47000000000003</v>
      </c>
      <c r="G237" s="209">
        <f t="shared" si="36"/>
        <v>272.47000000000003</v>
      </c>
      <c r="H237" s="737" t="s">
        <v>8</v>
      </c>
      <c r="I237" s="153"/>
      <c r="J237" s="176"/>
      <c r="K237" s="41"/>
      <c r="L237" s="41"/>
      <c r="M237" s="41"/>
    </row>
    <row r="238" spans="1:13" x14ac:dyDescent="0.25">
      <c r="A238" s="583"/>
      <c r="B238" s="429">
        <v>4750</v>
      </c>
      <c r="C238" s="430" t="s">
        <v>261</v>
      </c>
      <c r="D238" s="431" t="s">
        <v>257</v>
      </c>
      <c r="E238" s="432">
        <f>1*E236</f>
        <v>1</v>
      </c>
      <c r="F238" s="433">
        <v>14.79</v>
      </c>
      <c r="G238" s="481">
        <f t="shared" si="36"/>
        <v>14.79</v>
      </c>
      <c r="H238" s="726">
        <f>(G238+G239)/E236</f>
        <v>26.33</v>
      </c>
      <c r="I238" s="153"/>
      <c r="J238" s="176"/>
      <c r="K238" s="41"/>
      <c r="L238" s="41"/>
      <c r="M238" s="41"/>
    </row>
    <row r="239" spans="1:13" x14ac:dyDescent="0.25">
      <c r="A239" s="583"/>
      <c r="B239" s="429">
        <v>6111</v>
      </c>
      <c r="C239" s="430" t="s">
        <v>274</v>
      </c>
      <c r="D239" s="431" t="s">
        <v>257</v>
      </c>
      <c r="E239" s="432">
        <f>1.1*E236</f>
        <v>1.1000000000000001</v>
      </c>
      <c r="F239" s="433">
        <v>10.49</v>
      </c>
      <c r="G239" s="481">
        <f t="shared" si="36"/>
        <v>11.54</v>
      </c>
      <c r="H239" s="754" t="s">
        <v>9</v>
      </c>
      <c r="I239" s="153"/>
      <c r="J239" s="89"/>
      <c r="K239" s="41"/>
      <c r="L239" s="41"/>
      <c r="M239" s="41"/>
    </row>
    <row r="240" spans="1:13" ht="12" thickBot="1" x14ac:dyDescent="0.3">
      <c r="A240" s="583"/>
      <c r="B240" s="204">
        <v>1379</v>
      </c>
      <c r="C240" s="205" t="s">
        <v>420</v>
      </c>
      <c r="D240" s="206" t="s">
        <v>13</v>
      </c>
      <c r="E240" s="241">
        <f>2.12*E236</f>
        <v>2.12</v>
      </c>
      <c r="F240" s="208">
        <v>0.49</v>
      </c>
      <c r="G240" s="209">
        <f t="shared" si="36"/>
        <v>1.04</v>
      </c>
      <c r="H240" s="755">
        <f>F236-H238</f>
        <v>273.88</v>
      </c>
      <c r="I240" s="153"/>
      <c r="J240" s="89"/>
      <c r="K240" s="41"/>
      <c r="L240" s="41"/>
      <c r="M240" s="41"/>
    </row>
    <row r="241" spans="1:13" ht="11.85" customHeight="1" thickBot="1" x14ac:dyDescent="0.3">
      <c r="A241" s="584"/>
      <c r="B241" s="211">
        <v>367</v>
      </c>
      <c r="C241" s="216" t="s">
        <v>421</v>
      </c>
      <c r="D241" s="212" t="s">
        <v>272</v>
      </c>
      <c r="E241" s="271">
        <f>0.005*E236</f>
        <v>5.0000000000000001E-3</v>
      </c>
      <c r="F241" s="214">
        <v>74</v>
      </c>
      <c r="G241" s="215">
        <f t="shared" si="36"/>
        <v>0.37</v>
      </c>
      <c r="H241" s="678"/>
      <c r="I241" s="153"/>
      <c r="J241" s="89"/>
      <c r="K241" s="41"/>
      <c r="L241" s="41"/>
      <c r="M241" s="41"/>
    </row>
    <row r="242" spans="1:13" ht="13.5" thickBot="1" x14ac:dyDescent="0.3">
      <c r="A242" s="582" t="s">
        <v>1061</v>
      </c>
      <c r="B242" s="305" t="s">
        <v>731</v>
      </c>
      <c r="C242" s="177" t="s">
        <v>422</v>
      </c>
      <c r="D242" s="43" t="s">
        <v>270</v>
      </c>
      <c r="E242" s="44">
        <v>1</v>
      </c>
      <c r="F242" s="30">
        <f>SUM(G243:G247)/E242</f>
        <v>300.20999999999998</v>
      </c>
      <c r="G242" s="45">
        <f t="shared" si="36"/>
        <v>300.20999999999998</v>
      </c>
      <c r="H242" s="678"/>
      <c r="I242" s="152"/>
      <c r="J242" s="41"/>
      <c r="K242" s="41"/>
      <c r="L242" s="41"/>
      <c r="M242" s="90"/>
    </row>
    <row r="243" spans="1:13" ht="22.5" x14ac:dyDescent="0.25">
      <c r="A243" s="583"/>
      <c r="B243" s="204">
        <v>601</v>
      </c>
      <c r="C243" s="205" t="s">
        <v>419</v>
      </c>
      <c r="D243" s="206" t="s">
        <v>270</v>
      </c>
      <c r="E243" s="241">
        <f>1*E242</f>
        <v>1</v>
      </c>
      <c r="F243" s="208">
        <v>272.47000000000003</v>
      </c>
      <c r="G243" s="209">
        <f t="shared" si="36"/>
        <v>272.47000000000003</v>
      </c>
      <c r="H243" s="737" t="s">
        <v>8</v>
      </c>
      <c r="I243" s="153"/>
      <c r="J243" s="41"/>
      <c r="K243" s="41"/>
      <c r="L243" s="41"/>
      <c r="M243" s="41"/>
    </row>
    <row r="244" spans="1:13" x14ac:dyDescent="0.25">
      <c r="A244" s="583"/>
      <c r="B244" s="429">
        <v>4750</v>
      </c>
      <c r="C244" s="430" t="s">
        <v>261</v>
      </c>
      <c r="D244" s="431" t="s">
        <v>257</v>
      </c>
      <c r="E244" s="432">
        <f>1*E242</f>
        <v>1</v>
      </c>
      <c r="F244" s="433">
        <v>14.79</v>
      </c>
      <c r="G244" s="481">
        <f t="shared" si="36"/>
        <v>14.79</v>
      </c>
      <c r="H244" s="726">
        <f>(G244+G245)/E242</f>
        <v>26.33</v>
      </c>
      <c r="I244" s="153"/>
      <c r="J244" s="41"/>
      <c r="K244" s="41"/>
      <c r="L244" s="41"/>
      <c r="M244" s="41"/>
    </row>
    <row r="245" spans="1:13" x14ac:dyDescent="0.25">
      <c r="A245" s="583"/>
      <c r="B245" s="429">
        <v>6111</v>
      </c>
      <c r="C245" s="430" t="s">
        <v>274</v>
      </c>
      <c r="D245" s="431" t="s">
        <v>257</v>
      </c>
      <c r="E245" s="432">
        <f>1.1*E242</f>
        <v>1.1000000000000001</v>
      </c>
      <c r="F245" s="433">
        <v>10.49</v>
      </c>
      <c r="G245" s="481">
        <f t="shared" si="36"/>
        <v>11.54</v>
      </c>
      <c r="H245" s="754" t="s">
        <v>9</v>
      </c>
      <c r="I245" s="153"/>
      <c r="J245" s="41"/>
      <c r="K245" s="41"/>
      <c r="L245" s="41"/>
      <c r="M245" s="41"/>
    </row>
    <row r="246" spans="1:13" ht="12" thickBot="1" x14ac:dyDescent="0.3">
      <c r="A246" s="583"/>
      <c r="B246" s="204">
        <v>1379</v>
      </c>
      <c r="C246" s="205" t="s">
        <v>420</v>
      </c>
      <c r="D246" s="206" t="s">
        <v>13</v>
      </c>
      <c r="E246" s="241">
        <f>2.12*E242</f>
        <v>2.12</v>
      </c>
      <c r="F246" s="208">
        <v>0.49</v>
      </c>
      <c r="G246" s="209">
        <f t="shared" si="36"/>
        <v>1.04</v>
      </c>
      <c r="H246" s="755">
        <f>F242-H244</f>
        <v>273.88</v>
      </c>
      <c r="I246" s="153"/>
      <c r="J246" s="41"/>
      <c r="K246" s="41"/>
      <c r="L246" s="41"/>
      <c r="M246" s="41"/>
    </row>
    <row r="247" spans="1:13" ht="12" thickBot="1" x14ac:dyDescent="0.3">
      <c r="A247" s="584"/>
      <c r="B247" s="211">
        <v>367</v>
      </c>
      <c r="C247" s="216" t="s">
        <v>421</v>
      </c>
      <c r="D247" s="212" t="s">
        <v>272</v>
      </c>
      <c r="E247" s="271">
        <f>0.005*E242</f>
        <v>5.0000000000000001E-3</v>
      </c>
      <c r="F247" s="214">
        <v>74</v>
      </c>
      <c r="G247" s="215">
        <f t="shared" si="36"/>
        <v>0.37</v>
      </c>
      <c r="H247" s="678"/>
    </row>
    <row r="248" spans="1:13" ht="26.25" thickBot="1" x14ac:dyDescent="0.3">
      <c r="A248" s="582" t="s">
        <v>1062</v>
      </c>
      <c r="B248" s="305" t="s">
        <v>732</v>
      </c>
      <c r="C248" s="177" t="s">
        <v>733</v>
      </c>
      <c r="D248" s="43" t="s">
        <v>270</v>
      </c>
      <c r="E248" s="44">
        <v>1</v>
      </c>
      <c r="F248" s="30">
        <f>SUM(G249:G253)/E248</f>
        <v>300.20999999999998</v>
      </c>
      <c r="G248" s="45">
        <f t="shared" ref="G248:G271" si="37">F248*E248</f>
        <v>300.20999999999998</v>
      </c>
      <c r="H248" s="678"/>
    </row>
    <row r="249" spans="1:13" ht="22.5" x14ac:dyDescent="0.25">
      <c r="A249" s="583"/>
      <c r="B249" s="204">
        <v>601</v>
      </c>
      <c r="C249" s="205" t="s">
        <v>419</v>
      </c>
      <c r="D249" s="206" t="s">
        <v>270</v>
      </c>
      <c r="E249" s="241">
        <f>1*E248</f>
        <v>1</v>
      </c>
      <c r="F249" s="208">
        <v>272.47000000000003</v>
      </c>
      <c r="G249" s="209">
        <f t="shared" si="37"/>
        <v>272.47000000000003</v>
      </c>
      <c r="H249" s="737" t="s">
        <v>8</v>
      </c>
    </row>
    <row r="250" spans="1:13" x14ac:dyDescent="0.25">
      <c r="A250" s="583"/>
      <c r="B250" s="429">
        <v>4750</v>
      </c>
      <c r="C250" s="430" t="s">
        <v>261</v>
      </c>
      <c r="D250" s="431" t="s">
        <v>257</v>
      </c>
      <c r="E250" s="432">
        <f>1*E248</f>
        <v>1</v>
      </c>
      <c r="F250" s="433">
        <v>14.79</v>
      </c>
      <c r="G250" s="481">
        <f t="shared" si="37"/>
        <v>14.79</v>
      </c>
      <c r="H250" s="726">
        <f>(G250+G251)/E248</f>
        <v>26.33</v>
      </c>
    </row>
    <row r="251" spans="1:13" x14ac:dyDescent="0.25">
      <c r="A251" s="583"/>
      <c r="B251" s="429">
        <v>6111</v>
      </c>
      <c r="C251" s="430" t="s">
        <v>274</v>
      </c>
      <c r="D251" s="431" t="s">
        <v>257</v>
      </c>
      <c r="E251" s="432">
        <f>1.1*E248</f>
        <v>1.1000000000000001</v>
      </c>
      <c r="F251" s="433">
        <v>10.49</v>
      </c>
      <c r="G251" s="481">
        <f t="shared" si="37"/>
        <v>11.54</v>
      </c>
      <c r="H251" s="754" t="s">
        <v>9</v>
      </c>
    </row>
    <row r="252" spans="1:13" ht="12" thickBot="1" x14ac:dyDescent="0.3">
      <c r="A252" s="583"/>
      <c r="B252" s="204">
        <v>1379</v>
      </c>
      <c r="C252" s="205" t="s">
        <v>420</v>
      </c>
      <c r="D252" s="206" t="s">
        <v>13</v>
      </c>
      <c r="E252" s="241">
        <f>2.12*E248</f>
        <v>2.12</v>
      </c>
      <c r="F252" s="208">
        <v>0.49</v>
      </c>
      <c r="G252" s="209">
        <f t="shared" si="37"/>
        <v>1.04</v>
      </c>
      <c r="H252" s="755">
        <f>F248-H250</f>
        <v>273.88</v>
      </c>
    </row>
    <row r="253" spans="1:13" ht="12" thickBot="1" x14ac:dyDescent="0.3">
      <c r="A253" s="584"/>
      <c r="B253" s="211">
        <v>367</v>
      </c>
      <c r="C253" s="216" t="s">
        <v>421</v>
      </c>
      <c r="D253" s="212" t="s">
        <v>272</v>
      </c>
      <c r="E253" s="271">
        <f>0.005*E248</f>
        <v>5.0000000000000001E-3</v>
      </c>
      <c r="F253" s="214">
        <v>74</v>
      </c>
      <c r="G253" s="215">
        <f t="shared" si="37"/>
        <v>0.37</v>
      </c>
      <c r="H253" s="678"/>
    </row>
    <row r="254" spans="1:13" ht="13.5" thickBot="1" x14ac:dyDescent="0.3">
      <c r="A254" s="582" t="s">
        <v>1063</v>
      </c>
      <c r="B254" s="305" t="s">
        <v>734</v>
      </c>
      <c r="C254" s="177" t="s">
        <v>735</v>
      </c>
      <c r="D254" s="43" t="s">
        <v>270</v>
      </c>
      <c r="E254" s="44">
        <v>1</v>
      </c>
      <c r="F254" s="30">
        <f>SUM(G255:G259)/E254</f>
        <v>300.20999999999998</v>
      </c>
      <c r="G254" s="45">
        <f t="shared" si="37"/>
        <v>300.20999999999998</v>
      </c>
      <c r="H254" s="678"/>
    </row>
    <row r="255" spans="1:13" ht="22.5" x14ac:dyDescent="0.25">
      <c r="A255" s="583"/>
      <c r="B255" s="204">
        <v>601</v>
      </c>
      <c r="C255" s="205" t="s">
        <v>419</v>
      </c>
      <c r="D255" s="206" t="s">
        <v>270</v>
      </c>
      <c r="E255" s="241">
        <f>1*E254</f>
        <v>1</v>
      </c>
      <c r="F255" s="208">
        <v>272.47000000000003</v>
      </c>
      <c r="G255" s="209">
        <f t="shared" si="37"/>
        <v>272.47000000000003</v>
      </c>
      <c r="H255" s="737" t="s">
        <v>8</v>
      </c>
    </row>
    <row r="256" spans="1:13" x14ac:dyDescent="0.25">
      <c r="A256" s="583"/>
      <c r="B256" s="429">
        <v>4750</v>
      </c>
      <c r="C256" s="430" t="s">
        <v>261</v>
      </c>
      <c r="D256" s="431" t="s">
        <v>257</v>
      </c>
      <c r="E256" s="432">
        <f>1*E254</f>
        <v>1</v>
      </c>
      <c r="F256" s="433">
        <v>14.79</v>
      </c>
      <c r="G256" s="481">
        <f t="shared" si="37"/>
        <v>14.79</v>
      </c>
      <c r="H256" s="726">
        <f>(G256+G257)/E254</f>
        <v>26.33</v>
      </c>
    </row>
    <row r="257" spans="1:13" x14ac:dyDescent="0.25">
      <c r="A257" s="583"/>
      <c r="B257" s="429">
        <v>6111</v>
      </c>
      <c r="C257" s="430" t="s">
        <v>274</v>
      </c>
      <c r="D257" s="431" t="s">
        <v>257</v>
      </c>
      <c r="E257" s="432">
        <f>1.1*E254</f>
        <v>1.1000000000000001</v>
      </c>
      <c r="F257" s="433">
        <v>10.49</v>
      </c>
      <c r="G257" s="481">
        <f t="shared" si="37"/>
        <v>11.54</v>
      </c>
      <c r="H257" s="754" t="s">
        <v>9</v>
      </c>
    </row>
    <row r="258" spans="1:13" ht="12" thickBot="1" x14ac:dyDescent="0.3">
      <c r="A258" s="583"/>
      <c r="B258" s="204">
        <v>1379</v>
      </c>
      <c r="C258" s="205" t="s">
        <v>420</v>
      </c>
      <c r="D258" s="206" t="s">
        <v>13</v>
      </c>
      <c r="E258" s="241">
        <f>2.12*E254</f>
        <v>2.12</v>
      </c>
      <c r="F258" s="208">
        <v>0.49</v>
      </c>
      <c r="G258" s="209">
        <f t="shared" si="37"/>
        <v>1.04</v>
      </c>
      <c r="H258" s="755">
        <f>F254-H256</f>
        <v>273.88</v>
      </c>
    </row>
    <row r="259" spans="1:13" ht="12" thickBot="1" x14ac:dyDescent="0.3">
      <c r="A259" s="584"/>
      <c r="B259" s="211">
        <v>367</v>
      </c>
      <c r="C259" s="216" t="s">
        <v>421</v>
      </c>
      <c r="D259" s="212" t="s">
        <v>272</v>
      </c>
      <c r="E259" s="271">
        <f>0.005*E254</f>
        <v>5.0000000000000001E-3</v>
      </c>
      <c r="F259" s="214">
        <v>74</v>
      </c>
      <c r="G259" s="215">
        <f t="shared" si="37"/>
        <v>0.37</v>
      </c>
      <c r="H259" s="678"/>
    </row>
    <row r="260" spans="1:13" ht="13.5" thickBot="1" x14ac:dyDescent="0.3">
      <c r="A260" s="582" t="s">
        <v>1064</v>
      </c>
      <c r="B260" s="305" t="s">
        <v>736</v>
      </c>
      <c r="C260" s="177" t="s">
        <v>737</v>
      </c>
      <c r="D260" s="43" t="s">
        <v>270</v>
      </c>
      <c r="E260" s="44">
        <v>1</v>
      </c>
      <c r="F260" s="30">
        <f>SUM(G261:G265)/E260</f>
        <v>300.20999999999998</v>
      </c>
      <c r="G260" s="45">
        <f t="shared" si="37"/>
        <v>300.20999999999998</v>
      </c>
      <c r="H260" s="678"/>
    </row>
    <row r="261" spans="1:13" ht="22.5" x14ac:dyDescent="0.25">
      <c r="A261" s="583"/>
      <c r="B261" s="204">
        <v>601</v>
      </c>
      <c r="C261" s="205" t="s">
        <v>419</v>
      </c>
      <c r="D261" s="206" t="s">
        <v>270</v>
      </c>
      <c r="E261" s="241">
        <f>1*E260</f>
        <v>1</v>
      </c>
      <c r="F261" s="208">
        <v>272.47000000000003</v>
      </c>
      <c r="G261" s="209">
        <f t="shared" si="37"/>
        <v>272.47000000000003</v>
      </c>
      <c r="H261" s="737" t="s">
        <v>8</v>
      </c>
    </row>
    <row r="262" spans="1:13" x14ac:dyDescent="0.25">
      <c r="A262" s="583"/>
      <c r="B262" s="429">
        <v>4750</v>
      </c>
      <c r="C262" s="430" t="s">
        <v>261</v>
      </c>
      <c r="D262" s="431" t="s">
        <v>257</v>
      </c>
      <c r="E262" s="432">
        <f>1*E260</f>
        <v>1</v>
      </c>
      <c r="F262" s="433">
        <v>14.79</v>
      </c>
      <c r="G262" s="481">
        <f t="shared" si="37"/>
        <v>14.79</v>
      </c>
      <c r="H262" s="726">
        <f>(G262+G263)/E260</f>
        <v>26.33</v>
      </c>
    </row>
    <row r="263" spans="1:13" x14ac:dyDescent="0.25">
      <c r="A263" s="583"/>
      <c r="B263" s="429">
        <v>6111</v>
      </c>
      <c r="C263" s="430" t="s">
        <v>274</v>
      </c>
      <c r="D263" s="431" t="s">
        <v>257</v>
      </c>
      <c r="E263" s="432">
        <f>1.1*E260</f>
        <v>1.1000000000000001</v>
      </c>
      <c r="F263" s="433">
        <v>10.49</v>
      </c>
      <c r="G263" s="481">
        <f t="shared" si="37"/>
        <v>11.54</v>
      </c>
      <c r="H263" s="754" t="s">
        <v>9</v>
      </c>
    </row>
    <row r="264" spans="1:13" ht="12" thickBot="1" x14ac:dyDescent="0.3">
      <c r="A264" s="583"/>
      <c r="B264" s="204">
        <v>1379</v>
      </c>
      <c r="C264" s="205" t="s">
        <v>420</v>
      </c>
      <c r="D264" s="206" t="s">
        <v>13</v>
      </c>
      <c r="E264" s="241">
        <f>2.12*E260</f>
        <v>2.12</v>
      </c>
      <c r="F264" s="208">
        <v>0.49</v>
      </c>
      <c r="G264" s="209">
        <f t="shared" si="37"/>
        <v>1.04</v>
      </c>
      <c r="H264" s="755">
        <f>F260-H262</f>
        <v>273.88</v>
      </c>
    </row>
    <row r="265" spans="1:13" ht="12" thickBot="1" x14ac:dyDescent="0.3">
      <c r="A265" s="584"/>
      <c r="B265" s="211">
        <v>367</v>
      </c>
      <c r="C265" s="216" t="s">
        <v>421</v>
      </c>
      <c r="D265" s="212" t="s">
        <v>272</v>
      </c>
      <c r="E265" s="271">
        <f>0.005*E260</f>
        <v>5.0000000000000001E-3</v>
      </c>
      <c r="F265" s="214">
        <v>74</v>
      </c>
      <c r="G265" s="215">
        <f t="shared" si="37"/>
        <v>0.37</v>
      </c>
      <c r="H265" s="678"/>
    </row>
    <row r="266" spans="1:13" ht="13.5" thickBot="1" x14ac:dyDescent="0.3">
      <c r="A266" s="582" t="s">
        <v>1065</v>
      </c>
      <c r="B266" s="305" t="s">
        <v>738</v>
      </c>
      <c r="C266" s="177" t="s">
        <v>739</v>
      </c>
      <c r="D266" s="43" t="s">
        <v>270</v>
      </c>
      <c r="E266" s="44">
        <v>1</v>
      </c>
      <c r="F266" s="30">
        <f>SUM(G267:G271)/E266</f>
        <v>300.20999999999998</v>
      </c>
      <c r="G266" s="45">
        <f t="shared" si="37"/>
        <v>300.20999999999998</v>
      </c>
      <c r="H266" s="678"/>
    </row>
    <row r="267" spans="1:13" ht="22.5" x14ac:dyDescent="0.25">
      <c r="A267" s="583"/>
      <c r="B267" s="204">
        <v>601</v>
      </c>
      <c r="C267" s="205" t="s">
        <v>419</v>
      </c>
      <c r="D267" s="206" t="s">
        <v>270</v>
      </c>
      <c r="E267" s="241">
        <f>1*E266</f>
        <v>1</v>
      </c>
      <c r="F267" s="208">
        <v>272.47000000000003</v>
      </c>
      <c r="G267" s="209">
        <f t="shared" si="37"/>
        <v>272.47000000000003</v>
      </c>
      <c r="H267" s="737" t="s">
        <v>8</v>
      </c>
    </row>
    <row r="268" spans="1:13" x14ac:dyDescent="0.25">
      <c r="A268" s="583"/>
      <c r="B268" s="429">
        <v>4750</v>
      </c>
      <c r="C268" s="430" t="s">
        <v>261</v>
      </c>
      <c r="D268" s="431" t="s">
        <v>257</v>
      </c>
      <c r="E268" s="432">
        <f>1*E266</f>
        <v>1</v>
      </c>
      <c r="F268" s="433">
        <v>14.79</v>
      </c>
      <c r="G268" s="481">
        <f t="shared" si="37"/>
        <v>14.79</v>
      </c>
      <c r="H268" s="726">
        <f>(G268+G269)/E266</f>
        <v>26.33</v>
      </c>
    </row>
    <row r="269" spans="1:13" x14ac:dyDescent="0.25">
      <c r="A269" s="583"/>
      <c r="B269" s="429">
        <v>6111</v>
      </c>
      <c r="C269" s="430" t="s">
        <v>274</v>
      </c>
      <c r="D269" s="431" t="s">
        <v>257</v>
      </c>
      <c r="E269" s="432">
        <f>1.1*E266</f>
        <v>1.1000000000000001</v>
      </c>
      <c r="F269" s="433">
        <v>10.49</v>
      </c>
      <c r="G269" s="481">
        <f t="shared" si="37"/>
        <v>11.54</v>
      </c>
      <c r="H269" s="754" t="s">
        <v>9</v>
      </c>
    </row>
    <row r="270" spans="1:13" ht="12" thickBot="1" x14ac:dyDescent="0.3">
      <c r="A270" s="583"/>
      <c r="B270" s="204">
        <v>1379</v>
      </c>
      <c r="C270" s="205" t="s">
        <v>420</v>
      </c>
      <c r="D270" s="206" t="s">
        <v>13</v>
      </c>
      <c r="E270" s="241">
        <f>2.12*E266</f>
        <v>2.12</v>
      </c>
      <c r="F270" s="208">
        <v>0.49</v>
      </c>
      <c r="G270" s="209">
        <f t="shared" si="37"/>
        <v>1.04</v>
      </c>
      <c r="H270" s="755">
        <f>F266-H268</f>
        <v>273.88</v>
      </c>
    </row>
    <row r="271" spans="1:13" ht="12" thickBot="1" x14ac:dyDescent="0.3">
      <c r="A271" s="584"/>
      <c r="B271" s="211">
        <v>367</v>
      </c>
      <c r="C271" s="216" t="s">
        <v>421</v>
      </c>
      <c r="D271" s="212" t="s">
        <v>272</v>
      </c>
      <c r="E271" s="271">
        <f>0.005*E266</f>
        <v>5.0000000000000001E-3</v>
      </c>
      <c r="F271" s="214">
        <v>74</v>
      </c>
      <c r="G271" s="215">
        <f t="shared" si="37"/>
        <v>0.37</v>
      </c>
      <c r="H271" s="678"/>
    </row>
    <row r="272" spans="1:13" ht="23.25" thickBot="1" x14ac:dyDescent="0.3">
      <c r="A272" s="582" t="s">
        <v>1066</v>
      </c>
      <c r="B272" s="307" t="s">
        <v>740</v>
      </c>
      <c r="C272" s="27" t="s">
        <v>436</v>
      </c>
      <c r="D272" s="28" t="s">
        <v>269</v>
      </c>
      <c r="E272" s="134">
        <v>1</v>
      </c>
      <c r="F272" s="30">
        <f>SUM(G273:G278)/E272</f>
        <v>54.66</v>
      </c>
      <c r="G272" s="45">
        <f t="shared" ref="G272:G278" si="38">F272*E272</f>
        <v>54.66</v>
      </c>
      <c r="H272" s="678"/>
      <c r="M272" s="83"/>
    </row>
    <row r="273" spans="1:13" x14ac:dyDescent="0.25">
      <c r="A273" s="583"/>
      <c r="B273" s="204">
        <v>599</v>
      </c>
      <c r="C273" s="205" t="s">
        <v>437</v>
      </c>
      <c r="D273" s="206" t="s">
        <v>270</v>
      </c>
      <c r="E273" s="241">
        <f>0.12*E272</f>
        <v>0.12</v>
      </c>
      <c r="F273" s="208">
        <v>239.99</v>
      </c>
      <c r="G273" s="210">
        <f t="shared" si="38"/>
        <v>28.8</v>
      </c>
      <c r="H273" s="737" t="s">
        <v>8</v>
      </c>
      <c r="M273" s="83"/>
    </row>
    <row r="274" spans="1:13" x14ac:dyDescent="0.25">
      <c r="A274" s="583"/>
      <c r="B274" s="429">
        <v>4750</v>
      </c>
      <c r="C274" s="430" t="s">
        <v>261</v>
      </c>
      <c r="D274" s="431" t="s">
        <v>257</v>
      </c>
      <c r="E274" s="432">
        <f>1*E272</f>
        <v>1</v>
      </c>
      <c r="F274" s="433">
        <v>14.79</v>
      </c>
      <c r="G274" s="434">
        <f t="shared" si="38"/>
        <v>14.79</v>
      </c>
      <c r="H274" s="768">
        <f>(G274+G275)/E272</f>
        <v>25.28</v>
      </c>
      <c r="M274" s="83"/>
    </row>
    <row r="275" spans="1:13" x14ac:dyDescent="0.25">
      <c r="A275" s="583"/>
      <c r="B275" s="429">
        <v>6111</v>
      </c>
      <c r="C275" s="430" t="s">
        <v>274</v>
      </c>
      <c r="D275" s="431" t="s">
        <v>257</v>
      </c>
      <c r="E275" s="432">
        <f>1*E272</f>
        <v>1</v>
      </c>
      <c r="F275" s="433">
        <v>10.49</v>
      </c>
      <c r="G275" s="434">
        <f t="shared" si="38"/>
        <v>10.49</v>
      </c>
      <c r="H275" s="754" t="s">
        <v>9</v>
      </c>
      <c r="M275" s="83"/>
    </row>
    <row r="276" spans="1:13" ht="12" thickBot="1" x14ac:dyDescent="0.3">
      <c r="A276" s="583"/>
      <c r="B276" s="204">
        <v>1379</v>
      </c>
      <c r="C276" s="205" t="s">
        <v>420</v>
      </c>
      <c r="D276" s="206" t="s">
        <v>13</v>
      </c>
      <c r="E276" s="241">
        <f>2.12*0.12*E272</f>
        <v>0.25440000000000002</v>
      </c>
      <c r="F276" s="208">
        <v>0.49</v>
      </c>
      <c r="G276" s="210">
        <f t="shared" si="38"/>
        <v>0.12</v>
      </c>
      <c r="H276" s="819">
        <f>F272-H274</f>
        <v>29.38</v>
      </c>
      <c r="M276" s="83"/>
    </row>
    <row r="277" spans="1:13" x14ac:dyDescent="0.25">
      <c r="A277" s="583"/>
      <c r="B277" s="204">
        <v>367</v>
      </c>
      <c r="C277" s="205" t="s">
        <v>421</v>
      </c>
      <c r="D277" s="206" t="s">
        <v>272</v>
      </c>
      <c r="E277" s="241">
        <f>0.005*0.12*E272</f>
        <v>5.9999999999999995E-4</v>
      </c>
      <c r="F277" s="208">
        <v>74</v>
      </c>
      <c r="G277" s="210">
        <f>F277*E277</f>
        <v>0.04</v>
      </c>
      <c r="H277" s="688"/>
      <c r="M277" s="83"/>
    </row>
    <row r="278" spans="1:13" ht="23.25" thickBot="1" x14ac:dyDescent="0.3">
      <c r="A278" s="584"/>
      <c r="B278" s="211" t="s">
        <v>16</v>
      </c>
      <c r="C278" s="216" t="s">
        <v>438</v>
      </c>
      <c r="D278" s="212" t="s">
        <v>270</v>
      </c>
      <c r="E278" s="271">
        <f>1*0.12*E272*1.1</f>
        <v>0.13200000000000001</v>
      </c>
      <c r="F278" s="214">
        <v>3.2</v>
      </c>
      <c r="G278" s="215">
        <f t="shared" si="38"/>
        <v>0.42</v>
      </c>
      <c r="H278" s="678"/>
      <c r="M278" s="83"/>
    </row>
    <row r="279" spans="1:13" ht="34.5" thickBot="1" x14ac:dyDescent="0.3">
      <c r="A279" s="582" t="s">
        <v>1067</v>
      </c>
      <c r="B279" s="305" t="s">
        <v>23</v>
      </c>
      <c r="C279" s="42" t="s">
        <v>741</v>
      </c>
      <c r="D279" s="43" t="s">
        <v>270</v>
      </c>
      <c r="E279" s="75">
        <v>1</v>
      </c>
      <c r="F279" s="30">
        <f>SUM(G280:G284)/E279</f>
        <v>415.08</v>
      </c>
      <c r="G279" s="45">
        <f>F279*E279</f>
        <v>415.08</v>
      </c>
      <c r="H279" s="678"/>
      <c r="I279" s="482">
        <v>415.08</v>
      </c>
      <c r="M279" s="83"/>
    </row>
    <row r="280" spans="1:13" x14ac:dyDescent="0.25">
      <c r="A280" s="583"/>
      <c r="B280" s="429">
        <v>88309</v>
      </c>
      <c r="C280" s="430" t="s">
        <v>710</v>
      </c>
      <c r="D280" s="431" t="s">
        <v>257</v>
      </c>
      <c r="E280" s="432">
        <f>0.5*E279</f>
        <v>0.5</v>
      </c>
      <c r="F280" s="433">
        <v>17.97</v>
      </c>
      <c r="G280" s="481">
        <f t="shared" ref="G280" si="39">F280*E280</f>
        <v>8.99</v>
      </c>
      <c r="H280" s="737" t="s">
        <v>8</v>
      </c>
      <c r="M280" s="83"/>
    </row>
    <row r="281" spans="1:13" x14ac:dyDescent="0.25">
      <c r="A281" s="583"/>
      <c r="B281" s="429">
        <v>88315</v>
      </c>
      <c r="C281" s="430" t="s">
        <v>743</v>
      </c>
      <c r="D281" s="431" t="s">
        <v>257</v>
      </c>
      <c r="E281" s="371">
        <f>1.3*E279</f>
        <v>1.3</v>
      </c>
      <c r="F281" s="433">
        <v>18.16</v>
      </c>
      <c r="G281" s="434">
        <f t="shared" ref="G281:G284" si="40">F281*E281</f>
        <v>23.61</v>
      </c>
      <c r="H281" s="726">
        <f>I279-H283</f>
        <v>62.43</v>
      </c>
      <c r="M281" s="83"/>
    </row>
    <row r="282" spans="1:13" ht="22.5" x14ac:dyDescent="0.25">
      <c r="A282" s="583"/>
      <c r="B282" s="204">
        <v>4917</v>
      </c>
      <c r="C282" s="205" t="s">
        <v>24</v>
      </c>
      <c r="D282" s="206" t="s">
        <v>270</v>
      </c>
      <c r="E282" s="207">
        <f>1*E279</f>
        <v>1</v>
      </c>
      <c r="F282" s="208">
        <v>349.79</v>
      </c>
      <c r="G282" s="210">
        <f t="shared" si="40"/>
        <v>349.79</v>
      </c>
      <c r="H282" s="754" t="s">
        <v>9</v>
      </c>
      <c r="M282" s="83"/>
    </row>
    <row r="283" spans="1:13" ht="12" thickBot="1" x14ac:dyDescent="0.3">
      <c r="A283" s="583"/>
      <c r="B283" s="429">
        <v>88316</v>
      </c>
      <c r="C283" s="430" t="s">
        <v>690</v>
      </c>
      <c r="D283" s="431" t="s">
        <v>257</v>
      </c>
      <c r="E283" s="432">
        <f>2.2*E279</f>
        <v>2.2000000000000002</v>
      </c>
      <c r="F283" s="433">
        <v>13.56</v>
      </c>
      <c r="G283" s="481">
        <f t="shared" si="40"/>
        <v>29.83</v>
      </c>
      <c r="H283" s="755">
        <f>G282+G284</f>
        <v>352.65</v>
      </c>
      <c r="M283" s="83"/>
    </row>
    <row r="284" spans="1:13" ht="12" thickBot="1" x14ac:dyDescent="0.3">
      <c r="A284" s="584"/>
      <c r="B284" s="211">
        <v>87373</v>
      </c>
      <c r="C284" s="216" t="s">
        <v>22</v>
      </c>
      <c r="D284" s="212" t="s">
        <v>272</v>
      </c>
      <c r="E284" s="213">
        <f>0.006*E279</f>
        <v>6.0000000000000001E-3</v>
      </c>
      <c r="F284" s="214">
        <v>475.86</v>
      </c>
      <c r="G284" s="215">
        <f t="shared" si="40"/>
        <v>2.86</v>
      </c>
      <c r="H284" s="678"/>
      <c r="M284" s="83"/>
    </row>
    <row r="285" spans="1:13" ht="34.5" thickBot="1" x14ac:dyDescent="0.3">
      <c r="A285" s="582" t="s">
        <v>1068</v>
      </c>
      <c r="B285" s="305" t="s">
        <v>23</v>
      </c>
      <c r="C285" s="42" t="s">
        <v>742</v>
      </c>
      <c r="D285" s="43" t="s">
        <v>270</v>
      </c>
      <c r="E285" s="75">
        <v>1</v>
      </c>
      <c r="F285" s="30">
        <f>SUM(G286:G290)/E285</f>
        <v>415.08</v>
      </c>
      <c r="G285" s="45">
        <f>F285*E285</f>
        <v>415.08</v>
      </c>
      <c r="H285" s="678"/>
      <c r="I285" s="482">
        <v>415.08</v>
      </c>
      <c r="M285" s="83"/>
    </row>
    <row r="286" spans="1:13" x14ac:dyDescent="0.25">
      <c r="A286" s="583"/>
      <c r="B286" s="429">
        <v>88309</v>
      </c>
      <c r="C286" s="430" t="s">
        <v>710</v>
      </c>
      <c r="D286" s="431" t="s">
        <v>257</v>
      </c>
      <c r="E286" s="432">
        <f>0.5*E285</f>
        <v>0.5</v>
      </c>
      <c r="F286" s="433">
        <v>17.97</v>
      </c>
      <c r="G286" s="481">
        <f t="shared" ref="G286:G290" si="41">F286*E286</f>
        <v>8.99</v>
      </c>
      <c r="H286" s="737" t="s">
        <v>8</v>
      </c>
    </row>
    <row r="287" spans="1:13" x14ac:dyDescent="0.25">
      <c r="A287" s="583"/>
      <c r="B287" s="429">
        <v>88315</v>
      </c>
      <c r="C287" s="430" t="s">
        <v>743</v>
      </c>
      <c r="D287" s="431" t="s">
        <v>257</v>
      </c>
      <c r="E287" s="371">
        <f>1.3*E285</f>
        <v>1.3</v>
      </c>
      <c r="F287" s="433">
        <v>18.16</v>
      </c>
      <c r="G287" s="434">
        <f t="shared" si="41"/>
        <v>23.61</v>
      </c>
      <c r="H287" s="726">
        <f>I285-H289</f>
        <v>62.43</v>
      </c>
    </row>
    <row r="288" spans="1:13" ht="22.5" x14ac:dyDescent="0.25">
      <c r="A288" s="583"/>
      <c r="B288" s="204">
        <v>4917</v>
      </c>
      <c r="C288" s="205" t="s">
        <v>24</v>
      </c>
      <c r="D288" s="206" t="s">
        <v>270</v>
      </c>
      <c r="E288" s="207">
        <f>1*E285</f>
        <v>1</v>
      </c>
      <c r="F288" s="208">
        <v>349.79</v>
      </c>
      <c r="G288" s="210">
        <f t="shared" si="41"/>
        <v>349.79</v>
      </c>
      <c r="H288" s="754" t="s">
        <v>9</v>
      </c>
    </row>
    <row r="289" spans="1:12" ht="12" thickBot="1" x14ac:dyDescent="0.3">
      <c r="A289" s="583"/>
      <c r="B289" s="429">
        <v>88316</v>
      </c>
      <c r="C289" s="430" t="s">
        <v>690</v>
      </c>
      <c r="D289" s="431" t="s">
        <v>257</v>
      </c>
      <c r="E289" s="432">
        <f>2.2*E285</f>
        <v>2.2000000000000002</v>
      </c>
      <c r="F289" s="433">
        <v>13.56</v>
      </c>
      <c r="G289" s="481">
        <f t="shared" si="41"/>
        <v>29.83</v>
      </c>
      <c r="H289" s="755">
        <f>G288+G290</f>
        <v>352.65</v>
      </c>
    </row>
    <row r="290" spans="1:12" ht="12" thickBot="1" x14ac:dyDescent="0.3">
      <c r="A290" s="583"/>
      <c r="B290" s="242">
        <v>87373</v>
      </c>
      <c r="C290" s="243" t="s">
        <v>22</v>
      </c>
      <c r="D290" s="244" t="s">
        <v>272</v>
      </c>
      <c r="E290" s="553">
        <f>0.006*E285</f>
        <v>6.0000000000000001E-3</v>
      </c>
      <c r="F290" s="246">
        <v>475.86</v>
      </c>
      <c r="G290" s="247">
        <f t="shared" si="41"/>
        <v>2.86</v>
      </c>
      <c r="H290" s="678"/>
    </row>
    <row r="291" spans="1:12" ht="21.75" customHeight="1" thickBot="1" x14ac:dyDescent="0.3">
      <c r="A291" s="832">
        <v>6</v>
      </c>
      <c r="B291" s="833"/>
      <c r="C291" s="822" t="s">
        <v>27</v>
      </c>
      <c r="D291" s="823"/>
      <c r="E291" s="823"/>
      <c r="F291" s="823"/>
      <c r="G291" s="823"/>
      <c r="H291" s="824"/>
      <c r="J291" s="41"/>
      <c r="K291" s="41"/>
      <c r="L291" s="41"/>
    </row>
    <row r="292" spans="1:12" ht="34.5" thickBot="1" x14ac:dyDescent="0.3">
      <c r="A292" s="583" t="s">
        <v>135</v>
      </c>
      <c r="B292" s="581" t="s">
        <v>744</v>
      </c>
      <c r="C292" s="593" t="s">
        <v>424</v>
      </c>
      <c r="D292" s="79" t="s">
        <v>270</v>
      </c>
      <c r="E292" s="80">
        <v>1</v>
      </c>
      <c r="F292" s="49">
        <f>SUM(G293:G303)/E292</f>
        <v>53.41</v>
      </c>
      <c r="G292" s="334">
        <f>E292*F292</f>
        <v>53.41</v>
      </c>
      <c r="H292" s="677"/>
      <c r="J292" s="41"/>
      <c r="K292" s="372"/>
      <c r="L292" s="41"/>
    </row>
    <row r="293" spans="1:12" x14ac:dyDescent="0.25">
      <c r="A293" s="583"/>
      <c r="B293" s="429">
        <v>6115</v>
      </c>
      <c r="C293" s="430" t="s">
        <v>278</v>
      </c>
      <c r="D293" s="431" t="s">
        <v>257</v>
      </c>
      <c r="E293" s="432">
        <f>0.7*E292</f>
        <v>0.7</v>
      </c>
      <c r="F293" s="433">
        <v>10.49</v>
      </c>
      <c r="G293" s="481">
        <f>F293*E293</f>
        <v>7.34</v>
      </c>
      <c r="H293" s="737" t="s">
        <v>8</v>
      </c>
      <c r="J293" s="41"/>
      <c r="K293" s="194"/>
      <c r="L293" s="41"/>
    </row>
    <row r="294" spans="1:12" x14ac:dyDescent="0.25">
      <c r="A294" s="583"/>
      <c r="B294" s="429">
        <v>6110</v>
      </c>
      <c r="C294" s="430" t="s">
        <v>310</v>
      </c>
      <c r="D294" s="431" t="s">
        <v>257</v>
      </c>
      <c r="E294" s="432">
        <f>0.7*E292</f>
        <v>0.7</v>
      </c>
      <c r="F294" s="433">
        <v>15.17</v>
      </c>
      <c r="G294" s="481">
        <f>F294*E294</f>
        <v>10.62</v>
      </c>
      <c r="H294" s="726">
        <f>(G293+G294+G295)/E292</f>
        <v>22.41</v>
      </c>
      <c r="J294" s="41"/>
      <c r="K294" s="194"/>
      <c r="L294" s="41"/>
    </row>
    <row r="295" spans="1:12" x14ac:dyDescent="0.25">
      <c r="A295" s="583"/>
      <c r="B295" s="429">
        <v>4783</v>
      </c>
      <c r="C295" s="430" t="s">
        <v>279</v>
      </c>
      <c r="D295" s="431" t="s">
        <v>257</v>
      </c>
      <c r="E295" s="432">
        <f>0.3*E292</f>
        <v>0.3</v>
      </c>
      <c r="F295" s="433">
        <v>14.83</v>
      </c>
      <c r="G295" s="481">
        <f>F295*E295</f>
        <v>4.45</v>
      </c>
      <c r="H295" s="768"/>
      <c r="J295" s="41"/>
      <c r="K295" s="194"/>
      <c r="L295" s="41"/>
    </row>
    <row r="296" spans="1:12" ht="22.5" x14ac:dyDescent="0.25">
      <c r="A296" s="583"/>
      <c r="B296" s="204" t="s">
        <v>427</v>
      </c>
      <c r="C296" s="240" t="s">
        <v>426</v>
      </c>
      <c r="D296" s="206" t="s">
        <v>271</v>
      </c>
      <c r="E296" s="241">
        <f>3.9201113*E292</f>
        <v>3.9201109999999999</v>
      </c>
      <c r="F296" s="208">
        <f>3.19*1.15</f>
        <v>3.67</v>
      </c>
      <c r="G296" s="210">
        <f t="shared" ref="G296:G303" si="42">E296*F296</f>
        <v>14.39</v>
      </c>
      <c r="H296" s="754" t="s">
        <v>9</v>
      </c>
      <c r="J296" s="41"/>
      <c r="K296" s="323"/>
      <c r="L296" s="41"/>
    </row>
    <row r="297" spans="1:12" ht="23.25" thickBot="1" x14ac:dyDescent="0.3">
      <c r="A297" s="583"/>
      <c r="B297" s="204"/>
      <c r="C297" s="240" t="s">
        <v>428</v>
      </c>
      <c r="D297" s="206" t="s">
        <v>271</v>
      </c>
      <c r="E297" s="241">
        <f>2.8332835*E292</f>
        <v>2.8332839999999999</v>
      </c>
      <c r="F297" s="208">
        <f>3.19*1.15</f>
        <v>3.67</v>
      </c>
      <c r="G297" s="210">
        <f t="shared" si="42"/>
        <v>10.4</v>
      </c>
      <c r="H297" s="755">
        <f>F292-H294</f>
        <v>31</v>
      </c>
      <c r="J297" s="41"/>
      <c r="K297" s="323"/>
      <c r="L297" s="41"/>
    </row>
    <row r="298" spans="1:12" x14ac:dyDescent="0.25">
      <c r="A298" s="583"/>
      <c r="B298" s="204">
        <f>10952</f>
        <v>10952</v>
      </c>
      <c r="C298" s="240" t="s">
        <v>429</v>
      </c>
      <c r="D298" s="206" t="s">
        <v>271</v>
      </c>
      <c r="E298" s="241">
        <f>0.2480363*E292</f>
        <v>0.24803600000000001</v>
      </c>
      <c r="F298" s="208">
        <v>2.98</v>
      </c>
      <c r="G298" s="210">
        <f t="shared" si="42"/>
        <v>0.74</v>
      </c>
      <c r="H298" s="688"/>
      <c r="J298" s="41"/>
      <c r="K298" s="323"/>
      <c r="L298" s="41"/>
    </row>
    <row r="299" spans="1:12" x14ac:dyDescent="0.25">
      <c r="A299" s="583"/>
      <c r="B299" s="242">
        <v>20</v>
      </c>
      <c r="C299" s="272" t="s">
        <v>430</v>
      </c>
      <c r="D299" s="244" t="s">
        <v>271</v>
      </c>
      <c r="E299" s="245">
        <f>0.4807326*E292</f>
        <v>0.48073300000000002</v>
      </c>
      <c r="F299" s="246">
        <v>3.91</v>
      </c>
      <c r="G299" s="210">
        <f t="shared" si="42"/>
        <v>1.88</v>
      </c>
      <c r="H299" s="688"/>
      <c r="J299" s="41"/>
      <c r="K299" s="323"/>
      <c r="L299" s="41"/>
    </row>
    <row r="300" spans="1:12" x14ac:dyDescent="0.25">
      <c r="A300" s="583"/>
      <c r="B300" s="204">
        <v>7308</v>
      </c>
      <c r="C300" s="205" t="s">
        <v>105</v>
      </c>
      <c r="D300" s="206" t="s">
        <v>312</v>
      </c>
      <c r="E300" s="207">
        <f>0.0198456*E292</f>
        <v>1.9845999999999999E-2</v>
      </c>
      <c r="F300" s="208">
        <v>63.01</v>
      </c>
      <c r="G300" s="210">
        <f t="shared" si="42"/>
        <v>1.25</v>
      </c>
      <c r="H300" s="688"/>
      <c r="J300" s="41"/>
      <c r="K300" s="323"/>
      <c r="L300" s="41"/>
    </row>
    <row r="301" spans="1:12" x14ac:dyDescent="0.25">
      <c r="A301" s="583"/>
      <c r="B301" s="204">
        <v>7294</v>
      </c>
      <c r="C301" s="205" t="s">
        <v>101</v>
      </c>
      <c r="D301" s="206" t="s">
        <v>312</v>
      </c>
      <c r="E301" s="207">
        <f>0.0238385*E292</f>
        <v>2.3838999999999999E-2</v>
      </c>
      <c r="F301" s="208">
        <v>67.540000000000006</v>
      </c>
      <c r="G301" s="210">
        <f t="shared" si="42"/>
        <v>1.61</v>
      </c>
      <c r="H301" s="688"/>
      <c r="J301" s="41"/>
      <c r="K301" s="323"/>
      <c r="L301" s="41"/>
    </row>
    <row r="302" spans="1:12" x14ac:dyDescent="0.25">
      <c r="A302" s="583"/>
      <c r="B302" s="204">
        <v>5318</v>
      </c>
      <c r="C302" s="205" t="s">
        <v>103</v>
      </c>
      <c r="D302" s="206" t="s">
        <v>280</v>
      </c>
      <c r="E302" s="207">
        <f>0.0178789*E292</f>
        <v>1.7878999999999999E-2</v>
      </c>
      <c r="F302" s="208">
        <v>7.98</v>
      </c>
      <c r="G302" s="210">
        <f t="shared" si="42"/>
        <v>0.14000000000000001</v>
      </c>
      <c r="H302" s="688"/>
      <c r="J302" s="41"/>
      <c r="K302" s="323"/>
      <c r="L302" s="41"/>
    </row>
    <row r="303" spans="1:12" ht="12" thickBot="1" x14ac:dyDescent="0.3">
      <c r="A303" s="584"/>
      <c r="B303" s="211">
        <v>3768</v>
      </c>
      <c r="C303" s="216" t="s">
        <v>311</v>
      </c>
      <c r="D303" s="212" t="s">
        <v>269</v>
      </c>
      <c r="E303" s="213">
        <f>0.1787887*E292</f>
        <v>0.178789</v>
      </c>
      <c r="F303" s="214">
        <v>3.32</v>
      </c>
      <c r="G303" s="215">
        <f t="shared" si="42"/>
        <v>0.59</v>
      </c>
      <c r="H303" s="688"/>
      <c r="J303" s="41"/>
      <c r="K303" s="323"/>
      <c r="L303" s="41"/>
    </row>
    <row r="304" spans="1:12" ht="51" customHeight="1" x14ac:dyDescent="0.2">
      <c r="A304" s="582" t="s">
        <v>136</v>
      </c>
      <c r="B304" s="305" t="s">
        <v>745</v>
      </c>
      <c r="C304" s="91" t="s">
        <v>687</v>
      </c>
      <c r="D304" s="43" t="s">
        <v>270</v>
      </c>
      <c r="E304" s="75">
        <v>1</v>
      </c>
      <c r="F304" s="30">
        <f>SUM(G305:G308)/E304</f>
        <v>111.96</v>
      </c>
      <c r="G304" s="45">
        <f t="shared" ref="G304" si="43">E304*F304</f>
        <v>111.96</v>
      </c>
      <c r="H304" s="776" t="s">
        <v>8</v>
      </c>
    </row>
    <row r="305" spans="1:15" x14ac:dyDescent="0.25">
      <c r="A305" s="583"/>
      <c r="B305" s="429">
        <v>12869</v>
      </c>
      <c r="C305" s="430" t="s">
        <v>28</v>
      </c>
      <c r="D305" s="431" t="s">
        <v>257</v>
      </c>
      <c r="E305" s="371">
        <f>0.5*E304</f>
        <v>0.5</v>
      </c>
      <c r="F305" s="433">
        <v>13.18</v>
      </c>
      <c r="G305" s="434">
        <f t="shared" ref="G305:G308" si="44">F305*E305</f>
        <v>6.59</v>
      </c>
      <c r="H305" s="777">
        <f>(G305+G306)/E304</f>
        <v>11.84</v>
      </c>
    </row>
    <row r="306" spans="1:15" x14ac:dyDescent="0.25">
      <c r="A306" s="583"/>
      <c r="B306" s="429">
        <v>6115</v>
      </c>
      <c r="C306" s="430" t="s">
        <v>278</v>
      </c>
      <c r="D306" s="431" t="s">
        <v>257</v>
      </c>
      <c r="E306" s="371">
        <f>0.5*E304</f>
        <v>0.5</v>
      </c>
      <c r="F306" s="433">
        <v>10.49</v>
      </c>
      <c r="G306" s="434">
        <f t="shared" si="44"/>
        <v>5.25</v>
      </c>
      <c r="H306" s="779"/>
    </row>
    <row r="307" spans="1:15" x14ac:dyDescent="0.25">
      <c r="A307" s="583"/>
      <c r="B307" s="204"/>
      <c r="C307" s="205" t="s">
        <v>254</v>
      </c>
      <c r="D307" s="206"/>
      <c r="E307" s="207">
        <v>1</v>
      </c>
      <c r="F307" s="208">
        <v>16</v>
      </c>
      <c r="G307" s="210">
        <f t="shared" si="44"/>
        <v>16</v>
      </c>
      <c r="H307" s="779" t="s">
        <v>9</v>
      </c>
    </row>
    <row r="308" spans="1:15" ht="12" thickBot="1" x14ac:dyDescent="0.3">
      <c r="A308" s="584"/>
      <c r="B308" s="204">
        <v>7243</v>
      </c>
      <c r="C308" s="205" t="s">
        <v>431</v>
      </c>
      <c r="D308" s="206" t="s">
        <v>270</v>
      </c>
      <c r="E308" s="207">
        <f>1.15*E304</f>
        <v>1.1499999999999999</v>
      </c>
      <c r="F308" s="208">
        <f>66.5*1.1</f>
        <v>73.150000000000006</v>
      </c>
      <c r="G308" s="210">
        <f t="shared" si="44"/>
        <v>84.12</v>
      </c>
      <c r="H308" s="778">
        <f>F304-H305</f>
        <v>100.12</v>
      </c>
    </row>
    <row r="309" spans="1:15" ht="45" x14ac:dyDescent="0.2">
      <c r="A309" s="582" t="s">
        <v>137</v>
      </c>
      <c r="B309" s="343" t="s">
        <v>747</v>
      </c>
      <c r="C309" s="27" t="s">
        <v>746</v>
      </c>
      <c r="D309" s="43" t="s">
        <v>270</v>
      </c>
      <c r="E309" s="44">
        <v>1</v>
      </c>
      <c r="F309" s="30">
        <f>SUM(G310:G312)/E309</f>
        <v>146.5</v>
      </c>
      <c r="G309" s="45">
        <f>E309*F309</f>
        <v>146.5</v>
      </c>
      <c r="H309" s="776" t="s">
        <v>8</v>
      </c>
      <c r="J309" s="373"/>
      <c r="K309" s="374"/>
      <c r="L309" s="374"/>
      <c r="M309" s="374"/>
      <c r="N309" s="374"/>
      <c r="O309" s="374"/>
    </row>
    <row r="310" spans="1:15" x14ac:dyDescent="0.2">
      <c r="A310" s="583"/>
      <c r="B310" s="429">
        <v>242</v>
      </c>
      <c r="C310" s="430" t="s">
        <v>296</v>
      </c>
      <c r="D310" s="431" t="s">
        <v>257</v>
      </c>
      <c r="E310" s="432">
        <f>1*E309</f>
        <v>1</v>
      </c>
      <c r="F310" s="433">
        <v>11.41</v>
      </c>
      <c r="G310" s="434">
        <f>F310*E310</f>
        <v>11.41</v>
      </c>
      <c r="H310" s="777">
        <f>(G310+G311)/E309</f>
        <v>26.58</v>
      </c>
      <c r="J310" s="273"/>
      <c r="K310" s="375"/>
      <c r="L310" s="376"/>
      <c r="M310" s="376"/>
      <c r="N310" s="376"/>
      <c r="O310" s="376"/>
    </row>
    <row r="311" spans="1:15" x14ac:dyDescent="0.2">
      <c r="A311" s="583"/>
      <c r="B311" s="429">
        <v>6110</v>
      </c>
      <c r="C311" s="430" t="s">
        <v>310</v>
      </c>
      <c r="D311" s="431" t="s">
        <v>257</v>
      </c>
      <c r="E311" s="432">
        <f>1*E309</f>
        <v>1</v>
      </c>
      <c r="F311" s="433">
        <v>15.17</v>
      </c>
      <c r="G311" s="434">
        <f>F311*E311</f>
        <v>15.17</v>
      </c>
      <c r="H311" s="779" t="s">
        <v>9</v>
      </c>
      <c r="J311" s="274"/>
      <c r="K311" s="377"/>
      <c r="L311" s="378"/>
      <c r="M311" s="378"/>
      <c r="N311" s="378"/>
      <c r="O311" s="378"/>
    </row>
    <row r="312" spans="1:15" ht="26.25" customHeight="1" thickBot="1" x14ac:dyDescent="0.25">
      <c r="A312" s="584"/>
      <c r="B312" s="211" t="s">
        <v>16</v>
      </c>
      <c r="C312" s="216" t="s">
        <v>386</v>
      </c>
      <c r="D312" s="212" t="s">
        <v>271</v>
      </c>
      <c r="E312" s="271">
        <f>8*E309</f>
        <v>8</v>
      </c>
      <c r="F312" s="214">
        <f>13.63*1.1</f>
        <v>14.99</v>
      </c>
      <c r="G312" s="215">
        <f>F312*E312</f>
        <v>119.92</v>
      </c>
      <c r="H312" s="778">
        <f>F309-H310</f>
        <v>119.92</v>
      </c>
      <c r="J312" s="273"/>
      <c r="K312" s="375"/>
      <c r="L312" s="376"/>
      <c r="M312" s="376"/>
      <c r="N312" s="376"/>
      <c r="O312" s="376"/>
    </row>
    <row r="313" spans="1:15" ht="30" customHeight="1" x14ac:dyDescent="0.2">
      <c r="A313" s="582" t="s">
        <v>139</v>
      </c>
      <c r="B313" s="594" t="s">
        <v>748</v>
      </c>
      <c r="C313" s="186" t="s">
        <v>433</v>
      </c>
      <c r="D313" s="43" t="s">
        <v>270</v>
      </c>
      <c r="E313" s="44">
        <v>1</v>
      </c>
      <c r="F313" s="30">
        <f>SUM(G314:G316)/E313</f>
        <v>402.11</v>
      </c>
      <c r="G313" s="45">
        <f>E313*F313</f>
        <v>402.11</v>
      </c>
      <c r="H313" s="776" t="s">
        <v>8</v>
      </c>
      <c r="I313" s="185"/>
      <c r="J313" s="274"/>
      <c r="K313" s="377"/>
      <c r="L313" s="378"/>
      <c r="M313" s="378"/>
      <c r="N313" s="378"/>
      <c r="O313" s="378"/>
    </row>
    <row r="314" spans="1:15" x14ac:dyDescent="0.25">
      <c r="A314" s="583"/>
      <c r="B314" s="621">
        <v>242</v>
      </c>
      <c r="C314" s="430" t="s">
        <v>296</v>
      </c>
      <c r="D314" s="431" t="s">
        <v>257</v>
      </c>
      <c r="E314" s="432">
        <f>1*E313</f>
        <v>1</v>
      </c>
      <c r="F314" s="433">
        <v>11.41</v>
      </c>
      <c r="G314" s="434">
        <f>F314*E314</f>
        <v>11.41</v>
      </c>
      <c r="H314" s="777">
        <f>(G314+G315)/E313</f>
        <v>26.58</v>
      </c>
      <c r="J314" s="145"/>
      <c r="K314" s="146"/>
      <c r="L314" s="147"/>
      <c r="M314" s="147"/>
    </row>
    <row r="315" spans="1:15" x14ac:dyDescent="0.25">
      <c r="A315" s="583"/>
      <c r="B315" s="621">
        <v>6110</v>
      </c>
      <c r="C315" s="430" t="s">
        <v>310</v>
      </c>
      <c r="D315" s="431" t="s">
        <v>257</v>
      </c>
      <c r="E315" s="432">
        <f>1*E313</f>
        <v>1</v>
      </c>
      <c r="F315" s="433">
        <v>15.17</v>
      </c>
      <c r="G315" s="434">
        <f>F315*E315</f>
        <v>15.17</v>
      </c>
      <c r="H315" s="779" t="s">
        <v>9</v>
      </c>
      <c r="J315" s="41"/>
      <c r="K315" s="41"/>
      <c r="L315" s="41"/>
      <c r="M315" s="41"/>
    </row>
    <row r="316" spans="1:15" ht="12" thickBot="1" x14ac:dyDescent="0.3">
      <c r="A316" s="584"/>
      <c r="B316" s="291" t="s">
        <v>16</v>
      </c>
      <c r="C316" s="205" t="s">
        <v>432</v>
      </c>
      <c r="D316" s="206" t="s">
        <v>270</v>
      </c>
      <c r="E316" s="241">
        <f>1.15*E313</f>
        <v>1.1499999999999999</v>
      </c>
      <c r="F316" s="208">
        <f>311*1.05</f>
        <v>326.55</v>
      </c>
      <c r="G316" s="210">
        <f>F316*E316</f>
        <v>375.53</v>
      </c>
      <c r="H316" s="778">
        <f>F313-H314</f>
        <v>375.53</v>
      </c>
    </row>
    <row r="317" spans="1:15" ht="22.5" x14ac:dyDescent="0.25">
      <c r="A317" s="582" t="s">
        <v>138</v>
      </c>
      <c r="B317" s="305" t="s">
        <v>346</v>
      </c>
      <c r="C317" s="42" t="s">
        <v>435</v>
      </c>
      <c r="D317" s="43" t="s">
        <v>232</v>
      </c>
      <c r="E317" s="75">
        <v>1</v>
      </c>
      <c r="F317" s="30">
        <f>SUM(G318:G322)/E317</f>
        <v>63.13</v>
      </c>
      <c r="G317" s="45">
        <f t="shared" ref="G317:G322" si="45">F317*E317</f>
        <v>63.13</v>
      </c>
      <c r="H317" s="765" t="s">
        <v>8</v>
      </c>
    </row>
    <row r="318" spans="1:15" x14ac:dyDescent="0.25">
      <c r="A318" s="583"/>
      <c r="B318" s="429">
        <v>6115</v>
      </c>
      <c r="C318" s="430" t="s">
        <v>278</v>
      </c>
      <c r="D318" s="431" t="s">
        <v>257</v>
      </c>
      <c r="E318" s="432">
        <f>0.35*E317</f>
        <v>0.35</v>
      </c>
      <c r="F318" s="433">
        <v>10.49</v>
      </c>
      <c r="G318" s="434">
        <f t="shared" si="45"/>
        <v>3.67</v>
      </c>
      <c r="H318" s="766">
        <f>(G318+G319)/E317</f>
        <v>8.85</v>
      </c>
    </row>
    <row r="319" spans="1:15" x14ac:dyDescent="0.25">
      <c r="A319" s="583"/>
      <c r="B319" s="479">
        <v>4750</v>
      </c>
      <c r="C319" s="780" t="s">
        <v>261</v>
      </c>
      <c r="D319" s="781" t="s">
        <v>281</v>
      </c>
      <c r="E319" s="740">
        <f>0.35*E317</f>
        <v>0.35</v>
      </c>
      <c r="F319" s="433">
        <v>14.79</v>
      </c>
      <c r="G319" s="434">
        <f>E319*F319</f>
        <v>5.18</v>
      </c>
      <c r="H319" s="806" t="s">
        <v>9</v>
      </c>
    </row>
    <row r="320" spans="1:15" ht="12" thickBot="1" x14ac:dyDescent="0.3">
      <c r="A320" s="583"/>
      <c r="B320" s="204">
        <v>11115</v>
      </c>
      <c r="C320" s="275" t="s">
        <v>434</v>
      </c>
      <c r="D320" s="206" t="s">
        <v>232</v>
      </c>
      <c r="E320" s="207">
        <f>1.1*E317</f>
        <v>1.1000000000000001</v>
      </c>
      <c r="F320" s="208">
        <v>47.67</v>
      </c>
      <c r="G320" s="210">
        <f t="shared" si="45"/>
        <v>52.44</v>
      </c>
      <c r="H320" s="817">
        <f>F317-H318</f>
        <v>54.28</v>
      </c>
    </row>
    <row r="321" spans="1:9" ht="22.5" x14ac:dyDescent="0.25">
      <c r="A321" s="583"/>
      <c r="B321" s="204">
        <v>5104</v>
      </c>
      <c r="C321" s="240" t="s">
        <v>29</v>
      </c>
      <c r="D321" s="206" t="s">
        <v>271</v>
      </c>
      <c r="E321" s="207">
        <f>0.03*E317</f>
        <v>0.03</v>
      </c>
      <c r="F321" s="208">
        <v>35.36</v>
      </c>
      <c r="G321" s="210">
        <f t="shared" si="45"/>
        <v>1.06</v>
      </c>
      <c r="H321" s="678"/>
    </row>
    <row r="322" spans="1:9" ht="12" thickBot="1" x14ac:dyDescent="0.3">
      <c r="A322" s="584"/>
      <c r="B322" s="211">
        <v>5061</v>
      </c>
      <c r="C322" s="216" t="s">
        <v>30</v>
      </c>
      <c r="D322" s="212" t="s">
        <v>271</v>
      </c>
      <c r="E322" s="213">
        <f>0.1*E317</f>
        <v>0.1</v>
      </c>
      <c r="F322" s="214">
        <v>7.75</v>
      </c>
      <c r="G322" s="215">
        <f t="shared" si="45"/>
        <v>0.78</v>
      </c>
      <c r="H322" s="678"/>
    </row>
    <row r="323" spans="1:9" ht="22.5" x14ac:dyDescent="0.25">
      <c r="A323" s="582" t="s">
        <v>344</v>
      </c>
      <c r="B323" s="305" t="s">
        <v>347</v>
      </c>
      <c r="C323" s="42" t="s">
        <v>31</v>
      </c>
      <c r="D323" s="43" t="s">
        <v>232</v>
      </c>
      <c r="E323" s="75">
        <v>1</v>
      </c>
      <c r="F323" s="30">
        <f>SUM(G324:G328)/E323</f>
        <v>38.72</v>
      </c>
      <c r="G323" s="45">
        <f>F323*E323</f>
        <v>38.72</v>
      </c>
      <c r="H323" s="765" t="s">
        <v>8</v>
      </c>
    </row>
    <row r="324" spans="1:9" x14ac:dyDescent="0.25">
      <c r="A324" s="583"/>
      <c r="B324" s="429">
        <v>6115</v>
      </c>
      <c r="C324" s="430" t="s">
        <v>278</v>
      </c>
      <c r="D324" s="431" t="s">
        <v>257</v>
      </c>
      <c r="E324" s="432">
        <f>0.55*E323</f>
        <v>0.55000000000000004</v>
      </c>
      <c r="F324" s="433">
        <v>10.49</v>
      </c>
      <c r="G324" s="434">
        <f>F324*E324</f>
        <v>5.77</v>
      </c>
      <c r="H324" s="766">
        <f>(G324+G325)/E323</f>
        <v>13.9</v>
      </c>
    </row>
    <row r="325" spans="1:9" x14ac:dyDescent="0.25">
      <c r="A325" s="583"/>
      <c r="B325" s="479">
        <v>4750</v>
      </c>
      <c r="C325" s="780" t="s">
        <v>261</v>
      </c>
      <c r="D325" s="781" t="s">
        <v>281</v>
      </c>
      <c r="E325" s="740">
        <f>0.55*E323</f>
        <v>0.55000000000000004</v>
      </c>
      <c r="F325" s="433">
        <v>14.79</v>
      </c>
      <c r="G325" s="434">
        <f>E325*F325</f>
        <v>8.1300000000000008</v>
      </c>
      <c r="H325" s="806" t="s">
        <v>9</v>
      </c>
    </row>
    <row r="326" spans="1:9" ht="12" thickBot="1" x14ac:dyDescent="0.3">
      <c r="A326" s="583"/>
      <c r="B326" s="204">
        <v>11113</v>
      </c>
      <c r="C326" s="275" t="s">
        <v>32</v>
      </c>
      <c r="D326" s="206" t="s">
        <v>271</v>
      </c>
      <c r="E326" s="207">
        <f>1.1*E323</f>
        <v>1.1000000000000001</v>
      </c>
      <c r="F326" s="208">
        <v>20.89</v>
      </c>
      <c r="G326" s="210">
        <f>F326*E326</f>
        <v>22.98</v>
      </c>
      <c r="H326" s="817">
        <f>F323-H324</f>
        <v>24.82</v>
      </c>
    </row>
    <row r="327" spans="1:9" ht="22.5" x14ac:dyDescent="0.25">
      <c r="A327" s="583"/>
      <c r="B327" s="204">
        <v>5104</v>
      </c>
      <c r="C327" s="240" t="s">
        <v>29</v>
      </c>
      <c r="D327" s="206" t="s">
        <v>271</v>
      </c>
      <c r="E327" s="207">
        <f>0.03*E323</f>
        <v>0.03</v>
      </c>
      <c r="F327" s="208">
        <v>35.36</v>
      </c>
      <c r="G327" s="210">
        <f>F327*E327</f>
        <v>1.06</v>
      </c>
      <c r="H327" s="678"/>
    </row>
    <row r="328" spans="1:9" ht="12" thickBot="1" x14ac:dyDescent="0.3">
      <c r="A328" s="583"/>
      <c r="B328" s="242">
        <v>5061</v>
      </c>
      <c r="C328" s="243" t="s">
        <v>30</v>
      </c>
      <c r="D328" s="244" t="s">
        <v>271</v>
      </c>
      <c r="E328" s="553">
        <f>0.1*E323</f>
        <v>0.1</v>
      </c>
      <c r="F328" s="246">
        <v>7.75</v>
      </c>
      <c r="G328" s="247">
        <f>F328*E328</f>
        <v>0.78</v>
      </c>
      <c r="H328" s="678"/>
    </row>
    <row r="329" spans="1:9" ht="17.25" customHeight="1" thickBot="1" x14ac:dyDescent="0.3">
      <c r="A329" s="832">
        <v>7</v>
      </c>
      <c r="B329" s="833"/>
      <c r="C329" s="822" t="s">
        <v>235</v>
      </c>
      <c r="D329" s="823"/>
      <c r="E329" s="823"/>
      <c r="F329" s="823"/>
      <c r="G329" s="823"/>
      <c r="H329" s="824"/>
    </row>
    <row r="330" spans="1:9" ht="15.75" customHeight="1" thickBot="1" x14ac:dyDescent="0.3">
      <c r="A330" s="583" t="s">
        <v>140</v>
      </c>
      <c r="B330" s="581">
        <v>72117</v>
      </c>
      <c r="C330" s="78" t="s">
        <v>236</v>
      </c>
      <c r="D330" s="79" t="s">
        <v>270</v>
      </c>
      <c r="E330" s="595">
        <v>1</v>
      </c>
      <c r="F330" s="49">
        <f>SUM(G331:G334)/E330</f>
        <v>75.42</v>
      </c>
      <c r="G330" s="334">
        <f>F330*E330</f>
        <v>75.42</v>
      </c>
      <c r="H330" s="677"/>
      <c r="I330" s="666">
        <v>75.42</v>
      </c>
    </row>
    <row r="331" spans="1:9" x14ac:dyDescent="0.25">
      <c r="A331" s="583"/>
      <c r="B331" s="429">
        <v>88316</v>
      </c>
      <c r="C331" s="430" t="s">
        <v>690</v>
      </c>
      <c r="D331" s="431" t="s">
        <v>257</v>
      </c>
      <c r="E331" s="498">
        <f>0.45*E330</f>
        <v>0.45</v>
      </c>
      <c r="F331" s="433">
        <v>13.56</v>
      </c>
      <c r="G331" s="434">
        <f>F331*E331</f>
        <v>6.1</v>
      </c>
      <c r="H331" s="765" t="s">
        <v>8</v>
      </c>
    </row>
    <row r="332" spans="1:9" x14ac:dyDescent="0.25">
      <c r="A332" s="583"/>
      <c r="B332" s="429">
        <v>88325</v>
      </c>
      <c r="C332" s="430" t="s">
        <v>749</v>
      </c>
      <c r="D332" s="431" t="s">
        <v>257</v>
      </c>
      <c r="E332" s="498">
        <f>0.45*E330</f>
        <v>0.45</v>
      </c>
      <c r="F332" s="433">
        <v>15.8</v>
      </c>
      <c r="G332" s="434">
        <f>F332*E332</f>
        <v>7.11</v>
      </c>
      <c r="H332" s="766">
        <f>I330-H334</f>
        <v>13.21</v>
      </c>
    </row>
    <row r="333" spans="1:9" x14ac:dyDescent="0.25">
      <c r="A333" s="583"/>
      <c r="B333" s="204">
        <v>10492</v>
      </c>
      <c r="C333" s="205" t="s">
        <v>314</v>
      </c>
      <c r="D333" s="206" t="s">
        <v>270</v>
      </c>
      <c r="E333" s="237">
        <f>1*E330</f>
        <v>1</v>
      </c>
      <c r="F333" s="208">
        <v>57.6</v>
      </c>
      <c r="G333" s="210">
        <f>F333*E333</f>
        <v>57.6</v>
      </c>
      <c r="H333" s="806" t="s">
        <v>9</v>
      </c>
    </row>
    <row r="334" spans="1:9" ht="12" thickBot="1" x14ac:dyDescent="0.3">
      <c r="A334" s="584"/>
      <c r="B334" s="211">
        <v>10498</v>
      </c>
      <c r="C334" s="216" t="s">
        <v>315</v>
      </c>
      <c r="D334" s="212" t="s">
        <v>271</v>
      </c>
      <c r="E334" s="239">
        <f>1.6*E330</f>
        <v>1.6</v>
      </c>
      <c r="F334" s="214">
        <v>2.88</v>
      </c>
      <c r="G334" s="215">
        <f>F334*E334</f>
        <v>4.6100000000000003</v>
      </c>
      <c r="H334" s="817">
        <f>G333+G334</f>
        <v>62.21</v>
      </c>
    </row>
    <row r="335" spans="1:9" ht="18" customHeight="1" thickBot="1" x14ac:dyDescent="0.3">
      <c r="A335" s="832">
        <v>8</v>
      </c>
      <c r="B335" s="833"/>
      <c r="C335" s="822" t="s">
        <v>237</v>
      </c>
      <c r="D335" s="823"/>
      <c r="E335" s="823"/>
      <c r="F335" s="823"/>
      <c r="G335" s="823"/>
      <c r="H335" s="824"/>
    </row>
    <row r="336" spans="1:9" ht="34.5" thickBot="1" x14ac:dyDescent="0.3">
      <c r="A336" s="582" t="s">
        <v>141</v>
      </c>
      <c r="B336" s="581">
        <v>5968</v>
      </c>
      <c r="C336" s="596" t="s">
        <v>89</v>
      </c>
      <c r="D336" s="79" t="s">
        <v>270</v>
      </c>
      <c r="E336" s="597">
        <v>1</v>
      </c>
      <c r="F336" s="49">
        <f>SUM(G337:G340)/E336</f>
        <v>35</v>
      </c>
      <c r="G336" s="598">
        <f t="shared" ref="G336:G343" si="46">F336*E336</f>
        <v>35</v>
      </c>
      <c r="H336" s="782" t="s">
        <v>8</v>
      </c>
      <c r="I336" s="666">
        <v>35</v>
      </c>
    </row>
    <row r="337" spans="1:9" x14ac:dyDescent="0.25">
      <c r="A337" s="583"/>
      <c r="B337" s="429">
        <v>88309</v>
      </c>
      <c r="C337" s="430" t="s">
        <v>710</v>
      </c>
      <c r="D337" s="431" t="s">
        <v>257</v>
      </c>
      <c r="E337" s="371">
        <f>0.747*E336</f>
        <v>0.747</v>
      </c>
      <c r="F337" s="433">
        <v>17.97</v>
      </c>
      <c r="G337" s="481">
        <f t="shared" si="46"/>
        <v>13.42</v>
      </c>
      <c r="H337" s="726">
        <f>I336-H339</f>
        <v>23.55</v>
      </c>
    </row>
    <row r="338" spans="1:9" x14ac:dyDescent="0.25">
      <c r="A338" s="583"/>
      <c r="B338" s="429">
        <v>88316</v>
      </c>
      <c r="C338" s="430" t="s">
        <v>690</v>
      </c>
      <c r="D338" s="431" t="s">
        <v>257</v>
      </c>
      <c r="E338" s="371">
        <f>0.747*E336</f>
        <v>0.747</v>
      </c>
      <c r="F338" s="433">
        <v>13.56</v>
      </c>
      <c r="G338" s="481">
        <f t="shared" si="46"/>
        <v>10.130000000000001</v>
      </c>
      <c r="H338" s="754" t="s">
        <v>9</v>
      </c>
    </row>
    <row r="339" spans="1:9" ht="21" customHeight="1" thickBot="1" x14ac:dyDescent="0.3">
      <c r="A339" s="583"/>
      <c r="B339" s="204">
        <v>87298</v>
      </c>
      <c r="C339" s="205" t="s">
        <v>35</v>
      </c>
      <c r="D339" s="206" t="s">
        <v>33</v>
      </c>
      <c r="E339" s="207">
        <f>0.02*E336</f>
        <v>0.02</v>
      </c>
      <c r="F339" s="208">
        <v>449.36</v>
      </c>
      <c r="G339" s="209">
        <f t="shared" si="46"/>
        <v>8.99</v>
      </c>
      <c r="H339" s="755">
        <f>G339+G340</f>
        <v>11.45</v>
      </c>
    </row>
    <row r="340" spans="1:9" ht="32.25" customHeight="1" thickBot="1" x14ac:dyDescent="0.25">
      <c r="A340" s="584"/>
      <c r="B340" s="211">
        <v>7325</v>
      </c>
      <c r="C340" s="216" t="s">
        <v>34</v>
      </c>
      <c r="D340" s="212" t="s">
        <v>271</v>
      </c>
      <c r="E340" s="213">
        <f>0.3784*E336</f>
        <v>0.37840000000000001</v>
      </c>
      <c r="F340" s="214">
        <v>6.51</v>
      </c>
      <c r="G340" s="215">
        <f t="shared" si="46"/>
        <v>2.46</v>
      </c>
      <c r="H340" s="783" t="s">
        <v>8</v>
      </c>
    </row>
    <row r="341" spans="1:9" ht="34.5" thickBot="1" x14ac:dyDescent="0.3">
      <c r="A341" s="582" t="s">
        <v>142</v>
      </c>
      <c r="B341" s="305" t="s">
        <v>238</v>
      </c>
      <c r="C341" s="42" t="s">
        <v>239</v>
      </c>
      <c r="D341" s="43" t="s">
        <v>270</v>
      </c>
      <c r="E341" s="188">
        <v>1</v>
      </c>
      <c r="F341" s="30">
        <f>SUM(G342:G343)/E341</f>
        <v>8.35</v>
      </c>
      <c r="G341" s="45">
        <f t="shared" si="46"/>
        <v>8.35</v>
      </c>
      <c r="H341" s="726">
        <f>G342</f>
        <v>5.41</v>
      </c>
      <c r="I341" s="666">
        <v>8.35</v>
      </c>
    </row>
    <row r="342" spans="1:9" x14ac:dyDescent="0.25">
      <c r="A342" s="583"/>
      <c r="B342" s="429">
        <v>88316</v>
      </c>
      <c r="C342" s="430" t="s">
        <v>690</v>
      </c>
      <c r="D342" s="431" t="s">
        <v>257</v>
      </c>
      <c r="E342" s="371">
        <f>0.399*E341</f>
        <v>0.39900000000000002</v>
      </c>
      <c r="F342" s="433">
        <v>13.56</v>
      </c>
      <c r="G342" s="434">
        <f t="shared" si="46"/>
        <v>5.41</v>
      </c>
      <c r="H342" s="754" t="s">
        <v>9</v>
      </c>
    </row>
    <row r="343" spans="1:9" ht="23.25" thickBot="1" x14ac:dyDescent="0.3">
      <c r="A343" s="584"/>
      <c r="B343" s="211">
        <v>7319</v>
      </c>
      <c r="C343" s="216" t="s">
        <v>241</v>
      </c>
      <c r="D343" s="212" t="s">
        <v>280</v>
      </c>
      <c r="E343" s="213">
        <f>0.4*E341</f>
        <v>0.4</v>
      </c>
      <c r="F343" s="214">
        <v>7.34</v>
      </c>
      <c r="G343" s="215">
        <f t="shared" si="46"/>
        <v>2.94</v>
      </c>
      <c r="H343" s="755">
        <f>G343</f>
        <v>2.94</v>
      </c>
    </row>
    <row r="344" spans="1:9" ht="18.75" customHeight="1" thickBot="1" x14ac:dyDescent="0.3">
      <c r="A344" s="832">
        <v>9</v>
      </c>
      <c r="B344" s="833"/>
      <c r="C344" s="822" t="s">
        <v>240</v>
      </c>
      <c r="D344" s="823"/>
      <c r="E344" s="823"/>
      <c r="F344" s="823"/>
      <c r="G344" s="823"/>
      <c r="H344" s="824"/>
    </row>
    <row r="345" spans="1:9" ht="36" customHeight="1" thickBot="1" x14ac:dyDescent="0.3">
      <c r="A345" s="582" t="s">
        <v>143</v>
      </c>
      <c r="B345" s="599">
        <v>87881</v>
      </c>
      <c r="C345" s="600" t="s">
        <v>750</v>
      </c>
      <c r="D345" s="107" t="s">
        <v>218</v>
      </c>
      <c r="E345" s="601">
        <v>1</v>
      </c>
      <c r="F345" s="49">
        <f>SUM(G346:G348)/E345</f>
        <v>3.45</v>
      </c>
      <c r="G345" s="334">
        <f t="shared" ref="G345:G352" si="47">F345*E345</f>
        <v>3.45</v>
      </c>
      <c r="H345" s="95" t="s">
        <v>8</v>
      </c>
      <c r="I345" s="482">
        <v>3.45</v>
      </c>
    </row>
    <row r="346" spans="1:9" x14ac:dyDescent="0.25">
      <c r="A346" s="583"/>
      <c r="B346" s="429">
        <v>88316</v>
      </c>
      <c r="C346" s="430" t="s">
        <v>690</v>
      </c>
      <c r="D346" s="431" t="s">
        <v>257</v>
      </c>
      <c r="E346" s="496">
        <f>0.023*E345</f>
        <v>2.3E-2</v>
      </c>
      <c r="F346" s="497">
        <v>13.56</v>
      </c>
      <c r="G346" s="434">
        <f t="shared" si="47"/>
        <v>0.31</v>
      </c>
      <c r="H346" s="220">
        <f>I345-H348</f>
        <v>0.72</v>
      </c>
    </row>
    <row r="347" spans="1:9" x14ac:dyDescent="0.25">
      <c r="A347" s="583"/>
      <c r="B347" s="429">
        <v>88309</v>
      </c>
      <c r="C347" s="430" t="s">
        <v>710</v>
      </c>
      <c r="D347" s="431" t="s">
        <v>257</v>
      </c>
      <c r="E347" s="432">
        <f>0.023*E345</f>
        <v>2.3E-2</v>
      </c>
      <c r="F347" s="433">
        <v>17.97</v>
      </c>
      <c r="G347" s="434">
        <f>F347*E347</f>
        <v>0.41</v>
      </c>
      <c r="H347" s="754" t="s">
        <v>9</v>
      </c>
    </row>
    <row r="348" spans="1:9" ht="24.75" customHeight="1" thickBot="1" x14ac:dyDescent="0.3">
      <c r="A348" s="584"/>
      <c r="B348" s="278">
        <v>87381</v>
      </c>
      <c r="C348" s="279" t="s">
        <v>38</v>
      </c>
      <c r="D348" s="280" t="s">
        <v>33</v>
      </c>
      <c r="E348" s="281">
        <f>0.00149*E345</f>
        <v>1.49E-3</v>
      </c>
      <c r="F348" s="282">
        <v>1829.91</v>
      </c>
      <c r="G348" s="283">
        <f t="shared" si="47"/>
        <v>2.73</v>
      </c>
      <c r="H348" s="755">
        <f>G348</f>
        <v>2.73</v>
      </c>
    </row>
    <row r="349" spans="1:9" ht="31.5" customHeight="1" thickBot="1" x14ac:dyDescent="0.3">
      <c r="A349" s="582" t="s">
        <v>144</v>
      </c>
      <c r="B349" s="305">
        <v>87534</v>
      </c>
      <c r="C349" s="91" t="s">
        <v>39</v>
      </c>
      <c r="D349" s="43" t="s">
        <v>270</v>
      </c>
      <c r="E349" s="75">
        <v>1</v>
      </c>
      <c r="F349" s="30">
        <f>SUM(G350:G352)/E349</f>
        <v>29.99</v>
      </c>
      <c r="G349" s="45">
        <f t="shared" si="47"/>
        <v>29.99</v>
      </c>
      <c r="H349" s="782" t="s">
        <v>8</v>
      </c>
      <c r="I349" s="482">
        <v>24.85</v>
      </c>
    </row>
    <row r="350" spans="1:9" x14ac:dyDescent="0.25">
      <c r="A350" s="583"/>
      <c r="B350" s="762">
        <v>6111</v>
      </c>
      <c r="C350" s="430" t="s">
        <v>274</v>
      </c>
      <c r="D350" s="431" t="s">
        <v>257</v>
      </c>
      <c r="E350" s="496">
        <f>0.626*E349</f>
        <v>0.626</v>
      </c>
      <c r="F350" s="497">
        <v>9.9700000000000006</v>
      </c>
      <c r="G350" s="434">
        <f>F350*E350</f>
        <v>6.24</v>
      </c>
      <c r="H350" s="726">
        <f>I349-H352</f>
        <v>9.35</v>
      </c>
    </row>
    <row r="351" spans="1:9" x14ac:dyDescent="0.25">
      <c r="A351" s="583"/>
      <c r="B351" s="762">
        <v>4750</v>
      </c>
      <c r="C351" s="430" t="s">
        <v>261</v>
      </c>
      <c r="D351" s="431" t="s">
        <v>257</v>
      </c>
      <c r="E351" s="432">
        <f>0.626*E349</f>
        <v>0.626</v>
      </c>
      <c r="F351" s="433">
        <v>13.18</v>
      </c>
      <c r="G351" s="434">
        <f>F351*E351</f>
        <v>8.25</v>
      </c>
      <c r="H351" s="754" t="s">
        <v>9</v>
      </c>
    </row>
    <row r="352" spans="1:9" ht="23.25" thickBot="1" x14ac:dyDescent="0.3">
      <c r="A352" s="584"/>
      <c r="B352" s="211">
        <v>87369</v>
      </c>
      <c r="C352" s="284" t="s">
        <v>40</v>
      </c>
      <c r="D352" s="212" t="s">
        <v>272</v>
      </c>
      <c r="E352" s="213">
        <f>0.0376*E349</f>
        <v>3.7600000000000001E-2</v>
      </c>
      <c r="F352" s="214">
        <v>412.17</v>
      </c>
      <c r="G352" s="215">
        <f t="shared" si="47"/>
        <v>15.5</v>
      </c>
      <c r="H352" s="755">
        <f>G352</f>
        <v>15.5</v>
      </c>
    </row>
    <row r="353" spans="1:9" ht="22.5" customHeight="1" thickBot="1" x14ac:dyDescent="0.3">
      <c r="A353" s="832">
        <v>10</v>
      </c>
      <c r="B353" s="833"/>
      <c r="C353" s="822" t="s">
        <v>45</v>
      </c>
      <c r="D353" s="823"/>
      <c r="E353" s="823"/>
      <c r="F353" s="823"/>
      <c r="G353" s="823"/>
      <c r="H353" s="824"/>
    </row>
    <row r="354" spans="1:9" ht="49.5" customHeight="1" thickBot="1" x14ac:dyDescent="0.3">
      <c r="A354" s="583" t="s">
        <v>145</v>
      </c>
      <c r="B354" s="581">
        <v>87265</v>
      </c>
      <c r="C354" s="596" t="s">
        <v>439</v>
      </c>
      <c r="D354" s="79" t="s">
        <v>270</v>
      </c>
      <c r="E354" s="96">
        <v>1</v>
      </c>
      <c r="F354" s="97">
        <f>SUM(G355:G359)/E354</f>
        <v>29.12</v>
      </c>
      <c r="G354" s="334">
        <f t="shared" ref="G354:G363" si="48">F354*E354</f>
        <v>29.12</v>
      </c>
      <c r="H354" s="677"/>
      <c r="I354" s="482">
        <v>29.12</v>
      </c>
    </row>
    <row r="355" spans="1:9" x14ac:dyDescent="0.25">
      <c r="A355" s="583"/>
      <c r="B355" s="204">
        <v>34357</v>
      </c>
      <c r="C355" s="205" t="s">
        <v>547</v>
      </c>
      <c r="D355" s="206" t="s">
        <v>271</v>
      </c>
      <c r="E355" s="285">
        <f>0.42*E354</f>
        <v>0.42</v>
      </c>
      <c r="F355" s="286">
        <v>2.48</v>
      </c>
      <c r="G355" s="210">
        <f t="shared" si="48"/>
        <v>1.04</v>
      </c>
      <c r="H355" s="737" t="s">
        <v>8</v>
      </c>
    </row>
    <row r="356" spans="1:9" ht="22.5" x14ac:dyDescent="0.25">
      <c r="A356" s="583"/>
      <c r="B356" s="204">
        <v>1381</v>
      </c>
      <c r="C356" s="205" t="s">
        <v>242</v>
      </c>
      <c r="D356" s="206" t="s">
        <v>271</v>
      </c>
      <c r="E356" s="285">
        <f>4.86*E354</f>
        <v>4.8600000000000003</v>
      </c>
      <c r="F356" s="286">
        <v>0.28999999999999998</v>
      </c>
      <c r="G356" s="210">
        <f t="shared" si="48"/>
        <v>1.41</v>
      </c>
      <c r="H356" s="726">
        <f>I354-H358</f>
        <v>12.01</v>
      </c>
    </row>
    <row r="357" spans="1:9" ht="22.5" x14ac:dyDescent="0.25">
      <c r="A357" s="583"/>
      <c r="B357" s="429">
        <v>88256</v>
      </c>
      <c r="C357" s="430" t="s">
        <v>751</v>
      </c>
      <c r="D357" s="431" t="s">
        <v>257</v>
      </c>
      <c r="E357" s="496">
        <f>0.49*E354</f>
        <v>0.49</v>
      </c>
      <c r="F357" s="497">
        <v>16.489999999999998</v>
      </c>
      <c r="G357" s="434">
        <f t="shared" si="48"/>
        <v>8.08</v>
      </c>
      <c r="H357" s="754" t="s">
        <v>9</v>
      </c>
    </row>
    <row r="358" spans="1:9" ht="12" thickBot="1" x14ac:dyDescent="0.3">
      <c r="A358" s="583"/>
      <c r="B358" s="429">
        <v>88316</v>
      </c>
      <c r="C358" s="430" t="s">
        <v>690</v>
      </c>
      <c r="D358" s="431" t="s">
        <v>257</v>
      </c>
      <c r="E358" s="496">
        <f>0.29*E354</f>
        <v>0.28999999999999998</v>
      </c>
      <c r="F358" s="497">
        <v>13.56</v>
      </c>
      <c r="G358" s="434">
        <f t="shared" si="48"/>
        <v>3.93</v>
      </c>
      <c r="H358" s="755">
        <f>G355+G356+G359</f>
        <v>17.11</v>
      </c>
    </row>
    <row r="359" spans="1:9" ht="23.25" thickBot="1" x14ac:dyDescent="0.3">
      <c r="A359" s="584"/>
      <c r="B359" s="211">
        <v>536</v>
      </c>
      <c r="C359" s="216" t="s">
        <v>317</v>
      </c>
      <c r="D359" s="212" t="s">
        <v>270</v>
      </c>
      <c r="E359" s="287">
        <f>1.05*E354</f>
        <v>1.05</v>
      </c>
      <c r="F359" s="288">
        <v>13.96</v>
      </c>
      <c r="G359" s="215">
        <f t="shared" si="48"/>
        <v>14.66</v>
      </c>
      <c r="H359" s="678"/>
    </row>
    <row r="360" spans="1:9" ht="34.5" thickBot="1" x14ac:dyDescent="0.3">
      <c r="A360" s="582" t="s">
        <v>146</v>
      </c>
      <c r="B360" s="305">
        <v>87536</v>
      </c>
      <c r="C360" s="42" t="s">
        <v>36</v>
      </c>
      <c r="D360" s="43" t="s">
        <v>270</v>
      </c>
      <c r="E360" s="56">
        <v>1</v>
      </c>
      <c r="F360" s="57">
        <f>SUM(G361:G363)/E360</f>
        <v>22.81</v>
      </c>
      <c r="G360" s="74">
        <f t="shared" si="48"/>
        <v>22.81</v>
      </c>
      <c r="H360" s="737" t="s">
        <v>8</v>
      </c>
      <c r="I360" s="482">
        <v>22.81</v>
      </c>
    </row>
    <row r="361" spans="1:9" x14ac:dyDescent="0.25">
      <c r="A361" s="583"/>
      <c r="B361" s="429">
        <v>88309</v>
      </c>
      <c r="C361" s="430" t="s">
        <v>710</v>
      </c>
      <c r="D361" s="431" t="s">
        <v>257</v>
      </c>
      <c r="E361" s="496">
        <f>0.32*E360</f>
        <v>0.32</v>
      </c>
      <c r="F361" s="497">
        <v>17.97</v>
      </c>
      <c r="G361" s="481">
        <f t="shared" si="48"/>
        <v>5.75</v>
      </c>
      <c r="H361" s="726">
        <f>I360-H363</f>
        <v>7.31</v>
      </c>
    </row>
    <row r="362" spans="1:9" x14ac:dyDescent="0.25">
      <c r="A362" s="583"/>
      <c r="B362" s="429">
        <v>88316</v>
      </c>
      <c r="C362" s="430" t="s">
        <v>690</v>
      </c>
      <c r="D362" s="431" t="s">
        <v>257</v>
      </c>
      <c r="E362" s="498">
        <f>0.115*E360</f>
        <v>0.115</v>
      </c>
      <c r="F362" s="433">
        <v>13.56</v>
      </c>
      <c r="G362" s="481">
        <f t="shared" si="48"/>
        <v>1.56</v>
      </c>
      <c r="H362" s="754" t="s">
        <v>9</v>
      </c>
    </row>
    <row r="363" spans="1:9" ht="22.5" customHeight="1" thickBot="1" x14ac:dyDescent="0.3">
      <c r="A363" s="584"/>
      <c r="B363" s="211">
        <v>87369</v>
      </c>
      <c r="C363" s="216" t="s">
        <v>37</v>
      </c>
      <c r="D363" s="212" t="s">
        <v>272</v>
      </c>
      <c r="E363" s="213">
        <f>0.0376*E360</f>
        <v>3.7600000000000001E-2</v>
      </c>
      <c r="F363" s="214">
        <v>412.17</v>
      </c>
      <c r="G363" s="270">
        <f t="shared" si="48"/>
        <v>15.5</v>
      </c>
      <c r="H363" s="755">
        <f>G363</f>
        <v>15.5</v>
      </c>
    </row>
    <row r="364" spans="1:9" ht="22.5" customHeight="1" thickBot="1" x14ac:dyDescent="0.3">
      <c r="A364" s="582" t="s">
        <v>147</v>
      </c>
      <c r="B364" s="305">
        <v>87534</v>
      </c>
      <c r="C364" s="42" t="s">
        <v>36</v>
      </c>
      <c r="D364" s="43" t="s">
        <v>270</v>
      </c>
      <c r="E364" s="56">
        <v>1</v>
      </c>
      <c r="F364" s="57">
        <f>SUM(G365:G367)/E364</f>
        <v>24.85</v>
      </c>
      <c r="G364" s="74">
        <f t="shared" ref="G364:G367" si="49">F364*E364</f>
        <v>24.85</v>
      </c>
      <c r="H364" s="737" t="s">
        <v>8</v>
      </c>
      <c r="I364" s="482">
        <v>24.85</v>
      </c>
    </row>
    <row r="365" spans="1:9" ht="12" customHeight="1" x14ac:dyDescent="0.25">
      <c r="A365" s="583"/>
      <c r="B365" s="429">
        <v>88309</v>
      </c>
      <c r="C365" s="430" t="s">
        <v>710</v>
      </c>
      <c r="D365" s="431" t="s">
        <v>257</v>
      </c>
      <c r="E365" s="496">
        <f>0.407*E364</f>
        <v>0.40699999999999997</v>
      </c>
      <c r="F365" s="497">
        <v>17.97</v>
      </c>
      <c r="G365" s="481">
        <f t="shared" si="49"/>
        <v>7.31</v>
      </c>
      <c r="H365" s="726">
        <f>I364-H367</f>
        <v>9.35</v>
      </c>
    </row>
    <row r="366" spans="1:9" ht="12" customHeight="1" x14ac:dyDescent="0.25">
      <c r="A366" s="583"/>
      <c r="B366" s="429">
        <v>88316</v>
      </c>
      <c r="C366" s="430" t="s">
        <v>690</v>
      </c>
      <c r="D366" s="431" t="s">
        <v>257</v>
      </c>
      <c r="E366" s="498">
        <f>0.1505*E364</f>
        <v>0.15049999999999999</v>
      </c>
      <c r="F366" s="433">
        <v>13.56</v>
      </c>
      <c r="G366" s="481">
        <f t="shared" si="49"/>
        <v>2.04</v>
      </c>
      <c r="H366" s="754" t="s">
        <v>9</v>
      </c>
    </row>
    <row r="367" spans="1:9" ht="22.5" customHeight="1" thickBot="1" x14ac:dyDescent="0.3">
      <c r="A367" s="584"/>
      <c r="B367" s="211">
        <v>87369</v>
      </c>
      <c r="C367" s="216" t="s">
        <v>37</v>
      </c>
      <c r="D367" s="212" t="s">
        <v>272</v>
      </c>
      <c r="E367" s="213">
        <f>0.0376*E364</f>
        <v>3.7600000000000001E-2</v>
      </c>
      <c r="F367" s="214">
        <v>412.17</v>
      </c>
      <c r="G367" s="270">
        <f t="shared" si="49"/>
        <v>15.5</v>
      </c>
      <c r="H367" s="755">
        <f>G367</f>
        <v>15.5</v>
      </c>
    </row>
    <row r="368" spans="1:9" ht="23.25" thickBot="1" x14ac:dyDescent="0.3">
      <c r="A368" s="582" t="s">
        <v>1069</v>
      </c>
      <c r="B368" s="305">
        <v>87878</v>
      </c>
      <c r="C368" s="42" t="s">
        <v>243</v>
      </c>
      <c r="D368" s="43" t="s">
        <v>270</v>
      </c>
      <c r="E368" s="53">
        <v>1</v>
      </c>
      <c r="F368" s="30">
        <f>SUM(G369:G371)/E368</f>
        <v>3.1</v>
      </c>
      <c r="G368" s="45">
        <f>F368*E368</f>
        <v>3.1</v>
      </c>
      <c r="H368" s="737" t="s">
        <v>8</v>
      </c>
      <c r="I368" s="482">
        <v>3.1</v>
      </c>
    </row>
    <row r="369" spans="1:9" x14ac:dyDescent="0.25">
      <c r="A369" s="583"/>
      <c r="B369" s="429">
        <v>88309</v>
      </c>
      <c r="C369" s="430" t="s">
        <v>710</v>
      </c>
      <c r="D369" s="431" t="s">
        <v>257</v>
      </c>
      <c r="E369" s="496">
        <f>0.0695*E368</f>
        <v>6.9500000000000006E-2</v>
      </c>
      <c r="F369" s="497">
        <v>17.97</v>
      </c>
      <c r="G369" s="481">
        <f t="shared" ref="G369:G370" si="50">F369*E369</f>
        <v>1.25</v>
      </c>
      <c r="H369" s="726">
        <f>I368-H371</f>
        <v>1.34</v>
      </c>
    </row>
    <row r="370" spans="1:9" x14ac:dyDescent="0.25">
      <c r="A370" s="583"/>
      <c r="B370" s="429">
        <v>88316</v>
      </c>
      <c r="C370" s="430" t="s">
        <v>690</v>
      </c>
      <c r="D370" s="431" t="s">
        <v>257</v>
      </c>
      <c r="E370" s="498">
        <f>0.007*E368</f>
        <v>7.0000000000000001E-3</v>
      </c>
      <c r="F370" s="433">
        <v>13.56</v>
      </c>
      <c r="G370" s="481">
        <f t="shared" si="50"/>
        <v>0.09</v>
      </c>
      <c r="H370" s="754" t="s">
        <v>9</v>
      </c>
    </row>
    <row r="371" spans="1:9" ht="23.25" thickBot="1" x14ac:dyDescent="0.3">
      <c r="A371" s="584"/>
      <c r="B371" s="211">
        <v>87377</v>
      </c>
      <c r="C371" s="216" t="s">
        <v>319</v>
      </c>
      <c r="D371" s="212" t="s">
        <v>272</v>
      </c>
      <c r="E371" s="271">
        <f>0.0042*E368</f>
        <v>4.1999999999999997E-3</v>
      </c>
      <c r="F371" s="214">
        <v>420.22</v>
      </c>
      <c r="G371" s="215">
        <f>F371*E371</f>
        <v>1.76</v>
      </c>
      <c r="H371" s="755">
        <f>G371</f>
        <v>1.76</v>
      </c>
    </row>
    <row r="372" spans="1:9" ht="18.75" customHeight="1" thickBot="1" x14ac:dyDescent="0.3">
      <c r="A372" s="832">
        <v>11</v>
      </c>
      <c r="B372" s="833"/>
      <c r="C372" s="822" t="s">
        <v>46</v>
      </c>
      <c r="D372" s="823"/>
      <c r="E372" s="823"/>
      <c r="F372" s="823"/>
      <c r="G372" s="823"/>
      <c r="H372" s="824"/>
    </row>
    <row r="373" spans="1:9" ht="23.25" thickBot="1" x14ac:dyDescent="0.3">
      <c r="A373" s="582" t="s">
        <v>148</v>
      </c>
      <c r="B373" s="581">
        <v>87905</v>
      </c>
      <c r="C373" s="78" t="s">
        <v>243</v>
      </c>
      <c r="D373" s="79" t="s">
        <v>270</v>
      </c>
      <c r="E373" s="602">
        <v>1</v>
      </c>
      <c r="F373" s="49">
        <f>SUM(G374:G376)/E373</f>
        <v>5.93</v>
      </c>
      <c r="G373" s="334">
        <f t="shared" ref="G373:G381" si="51">F373*E373</f>
        <v>5.93</v>
      </c>
      <c r="H373" s="58" t="s">
        <v>8</v>
      </c>
      <c r="I373" s="482">
        <v>5.93</v>
      </c>
    </row>
    <row r="374" spans="1:9" x14ac:dyDescent="0.25">
      <c r="A374" s="583"/>
      <c r="B374" s="429">
        <v>88309</v>
      </c>
      <c r="C374" s="430" t="s">
        <v>710</v>
      </c>
      <c r="D374" s="431" t="s">
        <v>257</v>
      </c>
      <c r="E374" s="496">
        <f>0.1825*E373</f>
        <v>0.1825</v>
      </c>
      <c r="F374" s="497">
        <v>17.97</v>
      </c>
      <c r="G374" s="481">
        <f t="shared" si="51"/>
        <v>3.28</v>
      </c>
      <c r="H374" s="220">
        <f>I373-H376</f>
        <v>4.5</v>
      </c>
    </row>
    <row r="375" spans="1:9" x14ac:dyDescent="0.25">
      <c r="A375" s="583"/>
      <c r="B375" s="429">
        <v>88316</v>
      </c>
      <c r="C375" s="430" t="s">
        <v>690</v>
      </c>
      <c r="D375" s="431" t="s">
        <v>257</v>
      </c>
      <c r="E375" s="498">
        <f>0.09*E373</f>
        <v>0.09</v>
      </c>
      <c r="F375" s="433">
        <v>13.56</v>
      </c>
      <c r="G375" s="481">
        <f t="shared" si="51"/>
        <v>1.22</v>
      </c>
      <c r="H375" s="754" t="s">
        <v>9</v>
      </c>
    </row>
    <row r="376" spans="1:9" ht="23.25" thickBot="1" x14ac:dyDescent="0.3">
      <c r="A376" s="584"/>
      <c r="B376" s="211">
        <v>87313</v>
      </c>
      <c r="C376" s="216" t="s">
        <v>319</v>
      </c>
      <c r="D376" s="212" t="s">
        <v>272</v>
      </c>
      <c r="E376" s="271">
        <f>0.0042*E373</f>
        <v>4.1999999999999997E-3</v>
      </c>
      <c r="F376" s="214">
        <v>341.29</v>
      </c>
      <c r="G376" s="215">
        <f t="shared" si="51"/>
        <v>1.43</v>
      </c>
      <c r="H376" s="755">
        <f>G376</f>
        <v>1.43</v>
      </c>
    </row>
    <row r="377" spans="1:9" ht="45.75" thickBot="1" x14ac:dyDescent="0.3">
      <c r="A377" s="582" t="s">
        <v>149</v>
      </c>
      <c r="B377" s="305">
        <v>87775</v>
      </c>
      <c r="C377" s="86" t="s">
        <v>752</v>
      </c>
      <c r="D377" s="43" t="s">
        <v>270</v>
      </c>
      <c r="E377" s="53">
        <v>1</v>
      </c>
      <c r="F377" s="57">
        <f>SUM(G378:G381)/E377</f>
        <v>35.97</v>
      </c>
      <c r="G377" s="45">
        <f t="shared" si="51"/>
        <v>35.97</v>
      </c>
      <c r="H377" s="62" t="s">
        <v>8</v>
      </c>
      <c r="I377" s="482">
        <v>35.97</v>
      </c>
    </row>
    <row r="378" spans="1:9" x14ac:dyDescent="0.25">
      <c r="A378" s="583"/>
      <c r="B378" s="429">
        <v>88309</v>
      </c>
      <c r="C378" s="430" t="s">
        <v>710</v>
      </c>
      <c r="D378" s="431" t="s">
        <v>257</v>
      </c>
      <c r="E378" s="496">
        <f>0.774*E377</f>
        <v>0.77400000000000002</v>
      </c>
      <c r="F378" s="497">
        <v>17.97</v>
      </c>
      <c r="G378" s="481">
        <f t="shared" ref="G378:G379" si="52">F378*E378</f>
        <v>13.91</v>
      </c>
      <c r="H378" s="277">
        <f>I377-H380</f>
        <v>24.49</v>
      </c>
    </row>
    <row r="379" spans="1:9" x14ac:dyDescent="0.25">
      <c r="A379" s="583"/>
      <c r="B379" s="429">
        <v>88316</v>
      </c>
      <c r="C379" s="430" t="s">
        <v>690</v>
      </c>
      <c r="D379" s="431" t="s">
        <v>257</v>
      </c>
      <c r="E379" s="498">
        <f>0.78*E377</f>
        <v>0.78</v>
      </c>
      <c r="F379" s="433">
        <v>13.56</v>
      </c>
      <c r="G379" s="481">
        <f t="shared" si="52"/>
        <v>10.58</v>
      </c>
      <c r="H379" s="806" t="s">
        <v>9</v>
      </c>
    </row>
    <row r="380" spans="1:9" ht="23.25" thickBot="1" x14ac:dyDescent="0.3">
      <c r="A380" s="583"/>
      <c r="B380" s="204">
        <v>87292</v>
      </c>
      <c r="C380" s="205" t="s">
        <v>440</v>
      </c>
      <c r="D380" s="206" t="s">
        <v>272</v>
      </c>
      <c r="E380" s="241">
        <f>0.0314*E377</f>
        <v>3.1399999999999997E-2</v>
      </c>
      <c r="F380" s="208">
        <v>337.32</v>
      </c>
      <c r="G380" s="210">
        <f t="shared" si="51"/>
        <v>10.59</v>
      </c>
      <c r="H380" s="817">
        <f>G380+G381</f>
        <v>11.48</v>
      </c>
    </row>
    <row r="381" spans="1:9" ht="22.5" customHeight="1" thickBot="1" x14ac:dyDescent="0.3">
      <c r="A381" s="583"/>
      <c r="B381" s="242">
        <v>37631</v>
      </c>
      <c r="C381" s="243" t="s">
        <v>753</v>
      </c>
      <c r="D381" s="244" t="s">
        <v>498</v>
      </c>
      <c r="E381" s="245">
        <f>0.1388*E377</f>
        <v>0.13880000000000001</v>
      </c>
      <c r="F381" s="246">
        <v>6.39</v>
      </c>
      <c r="G381" s="247">
        <f t="shared" si="51"/>
        <v>0.89</v>
      </c>
      <c r="H381" s="690"/>
    </row>
    <row r="382" spans="1:9" ht="19.5" customHeight="1" thickBot="1" x14ac:dyDescent="0.3">
      <c r="A382" s="832">
        <v>12</v>
      </c>
      <c r="B382" s="833"/>
      <c r="C382" s="822" t="s">
        <v>244</v>
      </c>
      <c r="D382" s="823"/>
      <c r="E382" s="823"/>
      <c r="F382" s="823"/>
      <c r="G382" s="823"/>
      <c r="H382" s="824"/>
    </row>
    <row r="383" spans="1:9" ht="34.5" thickBot="1" x14ac:dyDescent="0.3">
      <c r="A383" s="582" t="s">
        <v>150</v>
      </c>
      <c r="B383" s="581">
        <v>87260</v>
      </c>
      <c r="C383" s="593" t="s">
        <v>441</v>
      </c>
      <c r="D383" s="79" t="s">
        <v>270</v>
      </c>
      <c r="E383" s="603">
        <v>1</v>
      </c>
      <c r="F383" s="49">
        <f>SUM(G384:G388)/E383</f>
        <v>95.12</v>
      </c>
      <c r="G383" s="334">
        <f>F383*E383</f>
        <v>95.12</v>
      </c>
      <c r="H383" s="58" t="s">
        <v>8</v>
      </c>
      <c r="I383" s="482">
        <v>95.12</v>
      </c>
    </row>
    <row r="384" spans="1:9" ht="22.5" customHeight="1" x14ac:dyDescent="0.25">
      <c r="A384" s="583"/>
      <c r="B384" s="204">
        <v>37659</v>
      </c>
      <c r="C384" s="205" t="s">
        <v>444</v>
      </c>
      <c r="D384" s="206" t="s">
        <v>271</v>
      </c>
      <c r="E384" s="241">
        <f>8.62*E383</f>
        <v>8.6199999999999992</v>
      </c>
      <c r="F384" s="208">
        <v>1.03</v>
      </c>
      <c r="G384" s="210">
        <f t="shared" ref="G384:G391" si="53">F384*E384</f>
        <v>8.8800000000000008</v>
      </c>
      <c r="H384" s="220">
        <f>I383-H386</f>
        <v>8.99</v>
      </c>
    </row>
    <row r="385" spans="1:9" ht="15" customHeight="1" x14ac:dyDescent="0.25">
      <c r="A385" s="583"/>
      <c r="B385" s="204">
        <v>21108</v>
      </c>
      <c r="C385" s="205" t="s">
        <v>442</v>
      </c>
      <c r="D385" s="206" t="s">
        <v>270</v>
      </c>
      <c r="E385" s="241">
        <f>1.06*E383</f>
        <v>1.06</v>
      </c>
      <c r="F385" s="208">
        <v>72.31</v>
      </c>
      <c r="G385" s="210">
        <f t="shared" si="53"/>
        <v>76.650000000000006</v>
      </c>
      <c r="H385" s="754" t="s">
        <v>9</v>
      </c>
    </row>
    <row r="386" spans="1:9" ht="12" thickBot="1" x14ac:dyDescent="0.3">
      <c r="A386" s="583"/>
      <c r="B386" s="204">
        <v>34357</v>
      </c>
      <c r="C386" s="205" t="s">
        <v>547</v>
      </c>
      <c r="D386" s="206" t="s">
        <v>271</v>
      </c>
      <c r="E386" s="289">
        <f>0.24*E383</f>
        <v>0.24</v>
      </c>
      <c r="F386" s="286">
        <v>2.48</v>
      </c>
      <c r="G386" s="210">
        <f t="shared" si="53"/>
        <v>0.6</v>
      </c>
      <c r="H386" s="755">
        <f>G384+G385+G386</f>
        <v>86.13</v>
      </c>
    </row>
    <row r="387" spans="1:9" ht="22.5" x14ac:dyDescent="0.25">
      <c r="A387" s="583"/>
      <c r="B387" s="429">
        <v>88256</v>
      </c>
      <c r="C387" s="430" t="s">
        <v>751</v>
      </c>
      <c r="D387" s="431" t="s">
        <v>257</v>
      </c>
      <c r="E387" s="496">
        <f>0.389*E383</f>
        <v>0.38900000000000001</v>
      </c>
      <c r="F387" s="497">
        <v>16.489999999999998</v>
      </c>
      <c r="G387" s="434">
        <f t="shared" si="53"/>
        <v>6.41</v>
      </c>
      <c r="H387" s="678"/>
    </row>
    <row r="388" spans="1:9" ht="12" thickBot="1" x14ac:dyDescent="0.3">
      <c r="A388" s="584"/>
      <c r="B388" s="465">
        <v>88316</v>
      </c>
      <c r="C388" s="466" t="s">
        <v>690</v>
      </c>
      <c r="D388" s="467" t="s">
        <v>257</v>
      </c>
      <c r="E388" s="784">
        <f>0.19*E383</f>
        <v>0.19</v>
      </c>
      <c r="F388" s="785">
        <v>13.56</v>
      </c>
      <c r="G388" s="730">
        <f t="shared" si="53"/>
        <v>2.58</v>
      </c>
      <c r="H388" s="678"/>
    </row>
    <row r="389" spans="1:9" ht="48.75" customHeight="1" thickBot="1" x14ac:dyDescent="0.3">
      <c r="A389" s="582" t="s">
        <v>151</v>
      </c>
      <c r="B389" s="590">
        <v>87655</v>
      </c>
      <c r="C389" s="600" t="s">
        <v>754</v>
      </c>
      <c r="D389" s="79" t="s">
        <v>270</v>
      </c>
      <c r="E389" s="96">
        <v>1</v>
      </c>
      <c r="F389" s="97">
        <f>SUM(G390:G394)/E389</f>
        <v>28.74</v>
      </c>
      <c r="G389" s="94">
        <f t="shared" si="53"/>
        <v>28.74</v>
      </c>
      <c r="H389" s="58" t="s">
        <v>8</v>
      </c>
      <c r="I389" s="482">
        <v>28.74</v>
      </c>
    </row>
    <row r="390" spans="1:9" x14ac:dyDescent="0.25">
      <c r="A390" s="583"/>
      <c r="B390" s="621">
        <v>88309</v>
      </c>
      <c r="C390" s="430" t="s">
        <v>710</v>
      </c>
      <c r="D390" s="431" t="s">
        <v>257</v>
      </c>
      <c r="E390" s="496">
        <f>0.2975*E389</f>
        <v>0.29749999999999999</v>
      </c>
      <c r="F390" s="497">
        <v>17.97</v>
      </c>
      <c r="G390" s="481">
        <f t="shared" si="53"/>
        <v>5.35</v>
      </c>
      <c r="H390" s="220">
        <f>I389-H392</f>
        <v>7.38</v>
      </c>
    </row>
    <row r="391" spans="1:9" x14ac:dyDescent="0.25">
      <c r="A391" s="583"/>
      <c r="B391" s="621">
        <v>88316</v>
      </c>
      <c r="C391" s="430" t="s">
        <v>690</v>
      </c>
      <c r="D391" s="431" t="s">
        <v>257</v>
      </c>
      <c r="E391" s="498">
        <f>0.15*E389</f>
        <v>0.15</v>
      </c>
      <c r="F391" s="433">
        <v>13.56</v>
      </c>
      <c r="G391" s="481">
        <f t="shared" si="53"/>
        <v>2.0299999999999998</v>
      </c>
      <c r="H391" s="754" t="s">
        <v>9</v>
      </c>
    </row>
    <row r="392" spans="1:9" ht="17.25" customHeight="1" thickBot="1" x14ac:dyDescent="0.3">
      <c r="A392" s="583"/>
      <c r="B392" s="291">
        <v>87301</v>
      </c>
      <c r="C392" s="205" t="s">
        <v>316</v>
      </c>
      <c r="D392" s="206" t="s">
        <v>272</v>
      </c>
      <c r="E392" s="290">
        <f>0.0431*E389</f>
        <v>4.3099999999999999E-2</v>
      </c>
      <c r="F392" s="286">
        <v>402.81</v>
      </c>
      <c r="G392" s="210">
        <f>F392*E392</f>
        <v>17.36</v>
      </c>
      <c r="H392" s="755">
        <f>G392+G393+G394</f>
        <v>21.36</v>
      </c>
    </row>
    <row r="393" spans="1:9" x14ac:dyDescent="0.25">
      <c r="A393" s="583"/>
      <c r="B393" s="291">
        <v>1379</v>
      </c>
      <c r="C393" s="292" t="s">
        <v>259</v>
      </c>
      <c r="D393" s="206" t="s">
        <v>271</v>
      </c>
      <c r="E393" s="290">
        <f>1*E389</f>
        <v>1</v>
      </c>
      <c r="F393" s="286">
        <v>0.49</v>
      </c>
      <c r="G393" s="210">
        <f t="shared" ref="G393:G394" si="54">F393*E393</f>
        <v>0.49</v>
      </c>
      <c r="H393" s="296"/>
    </row>
    <row r="394" spans="1:9" ht="12" thickBot="1" x14ac:dyDescent="0.3">
      <c r="A394" s="584"/>
      <c r="B394" s="293">
        <v>7334</v>
      </c>
      <c r="C394" s="294" t="s">
        <v>548</v>
      </c>
      <c r="D394" s="212" t="s">
        <v>280</v>
      </c>
      <c r="E394" s="295">
        <f>0.435*E389</f>
        <v>0.435</v>
      </c>
      <c r="F394" s="288">
        <v>8.06</v>
      </c>
      <c r="G394" s="215">
        <f t="shared" si="54"/>
        <v>3.51</v>
      </c>
      <c r="H394" s="296"/>
    </row>
    <row r="395" spans="1:9" ht="34.5" thickBot="1" x14ac:dyDescent="0.3">
      <c r="A395" s="582" t="s">
        <v>152</v>
      </c>
      <c r="B395" s="305" t="s">
        <v>43</v>
      </c>
      <c r="C395" s="596" t="s">
        <v>42</v>
      </c>
      <c r="D395" s="43" t="s">
        <v>232</v>
      </c>
      <c r="E395" s="75">
        <v>1</v>
      </c>
      <c r="F395" s="30">
        <f>SUM(G396:G399)/E395</f>
        <v>157.38999999999999</v>
      </c>
      <c r="G395" s="45">
        <f>F395*E395</f>
        <v>157.38999999999999</v>
      </c>
      <c r="H395" s="677"/>
    </row>
    <row r="396" spans="1:9" ht="23.25" thickBot="1" x14ac:dyDescent="0.3">
      <c r="A396" s="583"/>
      <c r="B396" s="204">
        <v>87373</v>
      </c>
      <c r="C396" s="205" t="s">
        <v>444</v>
      </c>
      <c r="D396" s="206" t="s">
        <v>271</v>
      </c>
      <c r="E396" s="241">
        <f>0.003*E395</f>
        <v>3.0000000000000001E-3</v>
      </c>
      <c r="F396" s="208">
        <v>475.86</v>
      </c>
      <c r="G396" s="210">
        <f>F396*E396</f>
        <v>1.43</v>
      </c>
      <c r="H396" s="58" t="s">
        <v>8</v>
      </c>
      <c r="I396" s="666">
        <f>H397+H399</f>
        <v>157.38999999999999</v>
      </c>
    </row>
    <row r="397" spans="1:9" x14ac:dyDescent="0.25">
      <c r="A397" s="583"/>
      <c r="B397" s="429">
        <v>4750</v>
      </c>
      <c r="C397" s="430" t="s">
        <v>261</v>
      </c>
      <c r="D397" s="431" t="s">
        <v>257</v>
      </c>
      <c r="E397" s="371">
        <f>0.5*E395</f>
        <v>0.5</v>
      </c>
      <c r="F397" s="497">
        <v>14.79</v>
      </c>
      <c r="G397" s="434">
        <f t="shared" ref="G397:G407" si="55">F397*E397</f>
        <v>7.4</v>
      </c>
      <c r="H397" s="220">
        <f>(G397+G398)/E395</f>
        <v>12.65</v>
      </c>
    </row>
    <row r="398" spans="1:9" x14ac:dyDescent="0.25">
      <c r="A398" s="583"/>
      <c r="B398" s="429">
        <v>6111</v>
      </c>
      <c r="C398" s="430" t="s">
        <v>274</v>
      </c>
      <c r="D398" s="431" t="s">
        <v>257</v>
      </c>
      <c r="E398" s="371">
        <f>0.5*E395</f>
        <v>0.5</v>
      </c>
      <c r="F398" s="497">
        <v>10.49</v>
      </c>
      <c r="G398" s="434">
        <f t="shared" si="55"/>
        <v>5.25</v>
      </c>
      <c r="H398" s="754" t="s">
        <v>9</v>
      </c>
    </row>
    <row r="399" spans="1:9" ht="12" thickBot="1" x14ac:dyDescent="0.3">
      <c r="A399" s="584"/>
      <c r="B399" s="211">
        <v>20232</v>
      </c>
      <c r="C399" s="216" t="s">
        <v>41</v>
      </c>
      <c r="D399" s="212" t="s">
        <v>232</v>
      </c>
      <c r="E399" s="213">
        <f>1*E395</f>
        <v>1</v>
      </c>
      <c r="F399" s="214">
        <v>143.31</v>
      </c>
      <c r="G399" s="215">
        <f t="shared" si="55"/>
        <v>143.31</v>
      </c>
      <c r="H399" s="755">
        <f>G399+G396</f>
        <v>144.74</v>
      </c>
    </row>
    <row r="400" spans="1:9" ht="23.25" thickBot="1" x14ac:dyDescent="0.3">
      <c r="A400" s="582" t="s">
        <v>153</v>
      </c>
      <c r="B400" s="305">
        <v>5622</v>
      </c>
      <c r="C400" s="91" t="s">
        <v>90</v>
      </c>
      <c r="D400" s="43" t="s">
        <v>270</v>
      </c>
      <c r="E400" s="56">
        <v>1</v>
      </c>
      <c r="F400" s="57">
        <f>SUM(G401)/E400</f>
        <v>4.47</v>
      </c>
      <c r="G400" s="74">
        <f t="shared" ref="G400:G401" si="56">F400*E400</f>
        <v>4.47</v>
      </c>
      <c r="H400" s="95" t="s">
        <v>8</v>
      </c>
      <c r="I400" s="482">
        <v>4.47</v>
      </c>
    </row>
    <row r="401" spans="1:9" ht="12" thickBot="1" x14ac:dyDescent="0.3">
      <c r="A401" s="584"/>
      <c r="B401" s="429">
        <v>88316</v>
      </c>
      <c r="C401" s="430" t="s">
        <v>690</v>
      </c>
      <c r="D401" s="467" t="s">
        <v>257</v>
      </c>
      <c r="E401" s="786">
        <f>0.33*E400</f>
        <v>0.33</v>
      </c>
      <c r="F401" s="729">
        <v>13.56</v>
      </c>
      <c r="G401" s="759">
        <f t="shared" si="56"/>
        <v>4.47</v>
      </c>
      <c r="H401" s="61">
        <f>G401</f>
        <v>4.47</v>
      </c>
    </row>
    <row r="402" spans="1:9" ht="23.25" thickBot="1" x14ac:dyDescent="0.3">
      <c r="A402" s="582" t="s">
        <v>154</v>
      </c>
      <c r="B402" s="305" t="s">
        <v>350</v>
      </c>
      <c r="C402" s="42" t="s">
        <v>352</v>
      </c>
      <c r="D402" s="43" t="s">
        <v>271</v>
      </c>
      <c r="E402" s="44">
        <v>1</v>
      </c>
      <c r="F402" s="235">
        <f>SUM(G403:G406)/E402</f>
        <v>4.34</v>
      </c>
      <c r="G402" s="45">
        <f>F402*E402</f>
        <v>4.34</v>
      </c>
      <c r="H402" s="58" t="s">
        <v>8</v>
      </c>
      <c r="I402" s="482">
        <f>H406+H403</f>
        <v>4.34</v>
      </c>
    </row>
    <row r="403" spans="1:9" x14ac:dyDescent="0.25">
      <c r="A403" s="583"/>
      <c r="B403" s="429">
        <v>10916</v>
      </c>
      <c r="C403" s="430" t="s">
        <v>351</v>
      </c>
      <c r="D403" s="431" t="s">
        <v>271</v>
      </c>
      <c r="E403" s="740">
        <f>1*E402</f>
        <v>1</v>
      </c>
      <c r="F403" s="433">
        <v>3.47</v>
      </c>
      <c r="G403" s="434">
        <f>F403*E403</f>
        <v>3.47</v>
      </c>
      <c r="H403" s="220">
        <f>(G405+G406)/E402</f>
        <v>0.8</v>
      </c>
    </row>
    <row r="404" spans="1:9" x14ac:dyDescent="0.25">
      <c r="A404" s="583"/>
      <c r="B404" s="429">
        <v>337</v>
      </c>
      <c r="C404" s="430" t="s">
        <v>275</v>
      </c>
      <c r="D404" s="431" t="s">
        <v>271</v>
      </c>
      <c r="E404" s="740">
        <f>0.0103*E402</f>
        <v>1.03E-2</v>
      </c>
      <c r="F404" s="433">
        <v>7</v>
      </c>
      <c r="G404" s="434">
        <f>F404*E404</f>
        <v>7.0000000000000007E-2</v>
      </c>
      <c r="H404" s="59"/>
    </row>
    <row r="405" spans="1:9" x14ac:dyDescent="0.25">
      <c r="A405" s="583"/>
      <c r="B405" s="429">
        <v>378</v>
      </c>
      <c r="C405" s="430" t="s">
        <v>290</v>
      </c>
      <c r="D405" s="431" t="s">
        <v>257</v>
      </c>
      <c r="E405" s="740">
        <f>0.02*E402</f>
        <v>0.02</v>
      </c>
      <c r="F405" s="433">
        <v>16.05</v>
      </c>
      <c r="G405" s="434">
        <f>F405*E405</f>
        <v>0.32</v>
      </c>
      <c r="H405" s="818" t="s">
        <v>9</v>
      </c>
    </row>
    <row r="406" spans="1:9" ht="12" thickBot="1" x14ac:dyDescent="0.3">
      <c r="A406" s="584"/>
      <c r="B406" s="465">
        <v>6114</v>
      </c>
      <c r="C406" s="466" t="s">
        <v>295</v>
      </c>
      <c r="D406" s="467" t="s">
        <v>257</v>
      </c>
      <c r="E406" s="748">
        <f>0.04*E402</f>
        <v>0.04</v>
      </c>
      <c r="F406" s="729">
        <v>12.06</v>
      </c>
      <c r="G406" s="730">
        <f>F406*E406</f>
        <v>0.48</v>
      </c>
      <c r="H406" s="755">
        <f>F402-H403</f>
        <v>3.54</v>
      </c>
    </row>
    <row r="407" spans="1:9" ht="22.5" x14ac:dyDescent="0.25">
      <c r="A407" s="582" t="s">
        <v>1070</v>
      </c>
      <c r="B407" s="305" t="s">
        <v>226</v>
      </c>
      <c r="C407" s="42" t="s">
        <v>44</v>
      </c>
      <c r="D407" s="43" t="s">
        <v>272</v>
      </c>
      <c r="E407" s="75">
        <v>1</v>
      </c>
      <c r="F407" s="30">
        <f>SUM(G408:G413)/E407</f>
        <v>380.39</v>
      </c>
      <c r="G407" s="45">
        <f t="shared" si="55"/>
        <v>380.39</v>
      </c>
      <c r="H407" s="677"/>
      <c r="I407" s="187"/>
    </row>
    <row r="408" spans="1:9" ht="12" thickBot="1" x14ac:dyDescent="0.3">
      <c r="A408" s="583"/>
      <c r="B408" s="204">
        <v>367</v>
      </c>
      <c r="C408" s="205" t="s">
        <v>282</v>
      </c>
      <c r="D408" s="206" t="s">
        <v>272</v>
      </c>
      <c r="E408" s="207">
        <f>0.4276*E407</f>
        <v>0.42759999999999998</v>
      </c>
      <c r="F408" s="208">
        <v>74</v>
      </c>
      <c r="G408" s="210">
        <f t="shared" ref="G408:G413" si="57">F408*E408</f>
        <v>31.64</v>
      </c>
      <c r="H408" s="678"/>
    </row>
    <row r="409" spans="1:9" ht="12" thickBot="1" x14ac:dyDescent="0.3">
      <c r="A409" s="583"/>
      <c r="B409" s="204">
        <v>1379</v>
      </c>
      <c r="C409" s="205" t="s">
        <v>259</v>
      </c>
      <c r="D409" s="206" t="s">
        <v>271</v>
      </c>
      <c r="E409" s="207">
        <f>189*E407</f>
        <v>189</v>
      </c>
      <c r="F409" s="208">
        <v>0.49</v>
      </c>
      <c r="G409" s="210">
        <f t="shared" si="57"/>
        <v>92.61</v>
      </c>
      <c r="H409" s="62" t="s">
        <v>8</v>
      </c>
      <c r="I409" s="482">
        <v>380.39</v>
      </c>
    </row>
    <row r="410" spans="1:9" x14ac:dyDescent="0.25">
      <c r="A410" s="583"/>
      <c r="B410" s="204">
        <v>4718</v>
      </c>
      <c r="C410" s="205" t="s">
        <v>292</v>
      </c>
      <c r="D410" s="206" t="s">
        <v>272</v>
      </c>
      <c r="E410" s="207">
        <f>0.507*E407</f>
        <v>0.50700000000000001</v>
      </c>
      <c r="F410" s="208">
        <v>83.05</v>
      </c>
      <c r="G410" s="210">
        <f t="shared" si="57"/>
        <v>42.11</v>
      </c>
      <c r="H410" s="277">
        <f>I409-H412</f>
        <v>170.43</v>
      </c>
    </row>
    <row r="411" spans="1:9" x14ac:dyDescent="0.25">
      <c r="A411" s="583"/>
      <c r="B411" s="204">
        <v>4721</v>
      </c>
      <c r="C411" s="205" t="s">
        <v>284</v>
      </c>
      <c r="D411" s="206" t="s">
        <v>272</v>
      </c>
      <c r="E411" s="207">
        <f>0.507*E407</f>
        <v>0.50700000000000001</v>
      </c>
      <c r="F411" s="208">
        <v>85.99</v>
      </c>
      <c r="G411" s="210">
        <f t="shared" si="57"/>
        <v>43.6</v>
      </c>
      <c r="H411" s="806" t="s">
        <v>9</v>
      </c>
    </row>
    <row r="412" spans="1:9" ht="12" thickBot="1" x14ac:dyDescent="0.3">
      <c r="A412" s="583"/>
      <c r="B412" s="429">
        <v>88309</v>
      </c>
      <c r="C412" s="430" t="s">
        <v>710</v>
      </c>
      <c r="D412" s="431" t="s">
        <v>257</v>
      </c>
      <c r="E412" s="371">
        <f>2*E407</f>
        <v>2</v>
      </c>
      <c r="F412" s="497">
        <v>17.97</v>
      </c>
      <c r="G412" s="434">
        <f t="shared" si="57"/>
        <v>35.94</v>
      </c>
      <c r="H412" s="817">
        <f>SUM(G408:G411)</f>
        <v>209.96</v>
      </c>
    </row>
    <row r="413" spans="1:9" ht="12" thickBot="1" x14ac:dyDescent="0.3">
      <c r="A413" s="583"/>
      <c r="B413" s="742">
        <v>88316</v>
      </c>
      <c r="C413" s="743" t="s">
        <v>690</v>
      </c>
      <c r="D413" s="749" t="s">
        <v>257</v>
      </c>
      <c r="E413" s="787">
        <f>9.918*E407</f>
        <v>9.9179999999999993</v>
      </c>
      <c r="F413" s="746">
        <v>13.56</v>
      </c>
      <c r="G413" s="763">
        <f t="shared" si="57"/>
        <v>134.49</v>
      </c>
      <c r="H413" s="678"/>
    </row>
    <row r="414" spans="1:9" ht="15.75" thickBot="1" x14ac:dyDescent="0.3">
      <c r="A414" s="832">
        <v>13</v>
      </c>
      <c r="B414" s="833"/>
      <c r="C414" s="822" t="s">
        <v>329</v>
      </c>
      <c r="D414" s="823"/>
      <c r="E414" s="823"/>
      <c r="F414" s="823"/>
      <c r="G414" s="823"/>
      <c r="H414" s="824"/>
    </row>
    <row r="415" spans="1:9" ht="23.25" thickBot="1" x14ac:dyDescent="0.3">
      <c r="A415" s="583" t="s">
        <v>155</v>
      </c>
      <c r="B415" s="581">
        <v>72439</v>
      </c>
      <c r="C415" s="78" t="s">
        <v>446</v>
      </c>
      <c r="D415" s="79" t="s">
        <v>268</v>
      </c>
      <c r="E415" s="87">
        <v>1</v>
      </c>
      <c r="F415" s="49">
        <f>SUM(G416:G420)/E415</f>
        <v>6.73</v>
      </c>
      <c r="G415" s="334">
        <f t="shared" ref="G415:G420" si="58">F415*E415</f>
        <v>6.73</v>
      </c>
      <c r="H415" s="691" t="s">
        <v>155</v>
      </c>
    </row>
    <row r="416" spans="1:9" ht="12" thickBot="1" x14ac:dyDescent="0.3">
      <c r="A416" s="583"/>
      <c r="B416" s="204">
        <v>122</v>
      </c>
      <c r="C416" s="205" t="s">
        <v>323</v>
      </c>
      <c r="D416" s="206" t="s">
        <v>268</v>
      </c>
      <c r="E416" s="241">
        <f>0.0106*E415</f>
        <v>1.06E-2</v>
      </c>
      <c r="F416" s="208">
        <v>30.09</v>
      </c>
      <c r="G416" s="210">
        <f t="shared" si="58"/>
        <v>0.32</v>
      </c>
      <c r="H416" s="64" t="s">
        <v>59</v>
      </c>
      <c r="I416" s="482">
        <v>6.73</v>
      </c>
    </row>
    <row r="417" spans="1:9" ht="22.5" x14ac:dyDescent="0.25">
      <c r="A417" s="583"/>
      <c r="B417" s="429">
        <v>88267</v>
      </c>
      <c r="C417" s="430" t="s">
        <v>755</v>
      </c>
      <c r="D417" s="431" t="s">
        <v>257</v>
      </c>
      <c r="E417" s="432">
        <f>0.18*E415</f>
        <v>0.18</v>
      </c>
      <c r="F417" s="464">
        <v>17.940000000000001</v>
      </c>
      <c r="G417" s="434">
        <f t="shared" si="58"/>
        <v>3.23</v>
      </c>
      <c r="H417" s="277">
        <f>I416-H419</f>
        <v>5.67</v>
      </c>
    </row>
    <row r="418" spans="1:9" x14ac:dyDescent="0.25">
      <c r="A418" s="583"/>
      <c r="B418" s="429">
        <v>88316</v>
      </c>
      <c r="C418" s="430" t="s">
        <v>690</v>
      </c>
      <c r="D418" s="431" t="s">
        <v>257</v>
      </c>
      <c r="E418" s="432">
        <f>0.18*E415</f>
        <v>0.18</v>
      </c>
      <c r="F418" s="464">
        <v>13.56</v>
      </c>
      <c r="G418" s="434">
        <f t="shared" si="58"/>
        <v>2.44</v>
      </c>
      <c r="H418" s="806" t="s">
        <v>60</v>
      </c>
    </row>
    <row r="419" spans="1:9" x14ac:dyDescent="0.25">
      <c r="A419" s="583"/>
      <c r="B419" s="204">
        <v>20083</v>
      </c>
      <c r="C419" s="205" t="s">
        <v>324</v>
      </c>
      <c r="D419" s="206" t="s">
        <v>268</v>
      </c>
      <c r="E419" s="241">
        <f>0.0035*E415</f>
        <v>3.5000000000000001E-3</v>
      </c>
      <c r="F419" s="208">
        <v>35.64</v>
      </c>
      <c r="G419" s="210">
        <f t="shared" si="58"/>
        <v>0.12</v>
      </c>
      <c r="H419" s="820">
        <f>G416+G419+G420</f>
        <v>1.06</v>
      </c>
    </row>
    <row r="420" spans="1:9" ht="12" thickBot="1" x14ac:dyDescent="0.3">
      <c r="A420" s="584"/>
      <c r="B420" s="211">
        <v>7139</v>
      </c>
      <c r="C420" s="216" t="s">
        <v>76</v>
      </c>
      <c r="D420" s="212" t="s">
        <v>268</v>
      </c>
      <c r="E420" s="213">
        <f>1*E415</f>
        <v>1</v>
      </c>
      <c r="F420" s="214">
        <v>0.62</v>
      </c>
      <c r="G420" s="283">
        <f t="shared" si="58"/>
        <v>0.62</v>
      </c>
      <c r="H420" s="692"/>
    </row>
    <row r="421" spans="1:9" ht="23.25" thickBot="1" x14ac:dyDescent="0.3">
      <c r="A421" s="582" t="s">
        <v>156</v>
      </c>
      <c r="B421" s="305">
        <v>72440</v>
      </c>
      <c r="C421" s="42" t="s">
        <v>75</v>
      </c>
      <c r="D421" s="43" t="s">
        <v>268</v>
      </c>
      <c r="E421" s="75">
        <v>1</v>
      </c>
      <c r="F421" s="30">
        <f>SUM(G422:G426)/E421</f>
        <v>8.34</v>
      </c>
      <c r="G421" s="45">
        <f t="shared" ref="G421:G426" si="59">F421*E421</f>
        <v>8.34</v>
      </c>
      <c r="H421" s="677" t="s">
        <v>156</v>
      </c>
    </row>
    <row r="422" spans="1:9" ht="12" thickBot="1" x14ac:dyDescent="0.3">
      <c r="A422" s="583"/>
      <c r="B422" s="204">
        <v>122</v>
      </c>
      <c r="C422" s="205" t="s">
        <v>323</v>
      </c>
      <c r="D422" s="206" t="s">
        <v>268</v>
      </c>
      <c r="E422" s="241">
        <f>0.0118*E421</f>
        <v>1.18E-2</v>
      </c>
      <c r="F422" s="208">
        <v>30.09</v>
      </c>
      <c r="G422" s="210">
        <f t="shared" si="59"/>
        <v>0.36</v>
      </c>
      <c r="H422" s="64" t="s">
        <v>59</v>
      </c>
      <c r="I422" s="666">
        <v>8.34</v>
      </c>
    </row>
    <row r="423" spans="1:9" ht="22.5" x14ac:dyDescent="0.25">
      <c r="A423" s="583"/>
      <c r="B423" s="429">
        <v>88267</v>
      </c>
      <c r="C423" s="430" t="s">
        <v>755</v>
      </c>
      <c r="D423" s="431" t="s">
        <v>257</v>
      </c>
      <c r="E423" s="432">
        <f>0.189*E421</f>
        <v>0.189</v>
      </c>
      <c r="F423" s="464">
        <v>17.940000000000001</v>
      </c>
      <c r="G423" s="434">
        <f t="shared" si="59"/>
        <v>3.39</v>
      </c>
      <c r="H423" s="277">
        <f>I422-H425</f>
        <v>5.97</v>
      </c>
    </row>
    <row r="424" spans="1:9" x14ac:dyDescent="0.25">
      <c r="A424" s="583"/>
      <c r="B424" s="429">
        <v>88316</v>
      </c>
      <c r="C424" s="430" t="s">
        <v>690</v>
      </c>
      <c r="D424" s="431" t="s">
        <v>257</v>
      </c>
      <c r="E424" s="432">
        <f>0.19*E421</f>
        <v>0.19</v>
      </c>
      <c r="F424" s="464">
        <v>13.56</v>
      </c>
      <c r="G424" s="434">
        <f t="shared" si="59"/>
        <v>2.58</v>
      </c>
      <c r="H424" s="806" t="s">
        <v>60</v>
      </c>
    </row>
    <row r="425" spans="1:9" x14ac:dyDescent="0.25">
      <c r="A425" s="583"/>
      <c r="B425" s="204">
        <v>20083</v>
      </c>
      <c r="C425" s="205" t="s">
        <v>324</v>
      </c>
      <c r="D425" s="206" t="s">
        <v>268</v>
      </c>
      <c r="E425" s="241">
        <f>0.004*E421</f>
        <v>4.0000000000000001E-3</v>
      </c>
      <c r="F425" s="208">
        <v>35.64</v>
      </c>
      <c r="G425" s="210">
        <f t="shared" si="59"/>
        <v>0.14000000000000001</v>
      </c>
      <c r="H425" s="820">
        <f>G422+G425+G426</f>
        <v>2.37</v>
      </c>
    </row>
    <row r="426" spans="1:9" ht="12" thickBot="1" x14ac:dyDescent="0.3">
      <c r="A426" s="584"/>
      <c r="B426" s="211">
        <v>7140</v>
      </c>
      <c r="C426" s="216" t="s">
        <v>76</v>
      </c>
      <c r="D426" s="212" t="s">
        <v>268</v>
      </c>
      <c r="E426" s="213">
        <f>1*E421</f>
        <v>1</v>
      </c>
      <c r="F426" s="214">
        <v>1.87</v>
      </c>
      <c r="G426" s="283">
        <f t="shared" si="59"/>
        <v>1.87</v>
      </c>
      <c r="H426" s="684"/>
    </row>
    <row r="427" spans="1:9" ht="23.25" thickBot="1" x14ac:dyDescent="0.3">
      <c r="A427" s="582" t="s">
        <v>157</v>
      </c>
      <c r="B427" s="604">
        <v>72442</v>
      </c>
      <c r="C427" s="106" t="s">
        <v>447</v>
      </c>
      <c r="D427" s="107" t="s">
        <v>269</v>
      </c>
      <c r="E427" s="10">
        <v>1</v>
      </c>
      <c r="F427" s="30">
        <f>SUM(G428:G432)/E427</f>
        <v>14.36</v>
      </c>
      <c r="G427" s="94">
        <f t="shared" ref="G427:G433" si="60">F427*E427</f>
        <v>14.36</v>
      </c>
      <c r="H427" s="677" t="s">
        <v>157</v>
      </c>
    </row>
    <row r="428" spans="1:9" ht="12" thickBot="1" x14ac:dyDescent="0.3">
      <c r="A428" s="583"/>
      <c r="B428" s="291">
        <v>122</v>
      </c>
      <c r="C428" s="205" t="s">
        <v>323</v>
      </c>
      <c r="D428" s="206" t="s">
        <v>268</v>
      </c>
      <c r="E428" s="241">
        <f>0.0212*E427</f>
        <v>2.12E-2</v>
      </c>
      <c r="F428" s="208">
        <v>30.09</v>
      </c>
      <c r="G428" s="210">
        <f t="shared" si="60"/>
        <v>0.64</v>
      </c>
      <c r="H428" s="64" t="s">
        <v>59</v>
      </c>
      <c r="I428" s="482">
        <v>14.36</v>
      </c>
    </row>
    <row r="429" spans="1:9" ht="22.5" x14ac:dyDescent="0.25">
      <c r="A429" s="583"/>
      <c r="B429" s="621">
        <v>88267</v>
      </c>
      <c r="C429" s="430" t="s">
        <v>755</v>
      </c>
      <c r="D429" s="431" t="s">
        <v>257</v>
      </c>
      <c r="E429" s="432">
        <f>0.258*E427</f>
        <v>0.25800000000000001</v>
      </c>
      <c r="F429" s="464">
        <v>17.940000000000001</v>
      </c>
      <c r="G429" s="434">
        <f t="shared" si="60"/>
        <v>4.63</v>
      </c>
      <c r="H429" s="277">
        <f>I428-H431</f>
        <v>8.1199999999999992</v>
      </c>
    </row>
    <row r="430" spans="1:9" x14ac:dyDescent="0.25">
      <c r="A430" s="583"/>
      <c r="B430" s="621">
        <v>88316</v>
      </c>
      <c r="C430" s="430" t="s">
        <v>690</v>
      </c>
      <c r="D430" s="431" t="s">
        <v>257</v>
      </c>
      <c r="E430" s="432">
        <f>0.2575*E427</f>
        <v>0.25750000000000001</v>
      </c>
      <c r="F430" s="464">
        <v>13.56</v>
      </c>
      <c r="G430" s="434">
        <f t="shared" si="60"/>
        <v>3.49</v>
      </c>
      <c r="H430" s="806" t="s">
        <v>60</v>
      </c>
    </row>
    <row r="431" spans="1:9" x14ac:dyDescent="0.25">
      <c r="A431" s="583"/>
      <c r="B431" s="291">
        <v>20083</v>
      </c>
      <c r="C431" s="205" t="s">
        <v>324</v>
      </c>
      <c r="D431" s="206" t="s">
        <v>268</v>
      </c>
      <c r="E431" s="241">
        <f>0.007*E427</f>
        <v>7.0000000000000001E-3</v>
      </c>
      <c r="F431" s="208">
        <v>35.64</v>
      </c>
      <c r="G431" s="210">
        <f t="shared" si="60"/>
        <v>0.25</v>
      </c>
      <c r="H431" s="820">
        <f>G428+G431+G432</f>
        <v>6.24</v>
      </c>
    </row>
    <row r="432" spans="1:9" ht="12" thickBot="1" x14ac:dyDescent="0.3">
      <c r="A432" s="584"/>
      <c r="B432" s="293">
        <v>7142</v>
      </c>
      <c r="C432" s="216" t="s">
        <v>448</v>
      </c>
      <c r="D432" s="212" t="s">
        <v>268</v>
      </c>
      <c r="E432" s="213">
        <f>1*E427</f>
        <v>1</v>
      </c>
      <c r="F432" s="214">
        <v>5.35</v>
      </c>
      <c r="G432" s="283">
        <f t="shared" si="60"/>
        <v>5.35</v>
      </c>
      <c r="H432" s="684"/>
    </row>
    <row r="433" spans="1:9" ht="23.25" thickBot="1" x14ac:dyDescent="0.3">
      <c r="A433" s="582" t="s">
        <v>158</v>
      </c>
      <c r="B433" s="305">
        <v>72451</v>
      </c>
      <c r="C433" s="42" t="s">
        <v>449</v>
      </c>
      <c r="D433" s="43" t="s">
        <v>268</v>
      </c>
      <c r="E433" s="44">
        <v>1</v>
      </c>
      <c r="F433" s="30">
        <f>SUM(G434:G438)/E433</f>
        <v>9.99</v>
      </c>
      <c r="G433" s="45">
        <f t="shared" si="60"/>
        <v>9.99</v>
      </c>
      <c r="H433" s="684"/>
    </row>
    <row r="434" spans="1:9" ht="12" thickBot="1" x14ac:dyDescent="0.3">
      <c r="A434" s="583"/>
      <c r="B434" s="204">
        <v>122</v>
      </c>
      <c r="C434" s="205" t="s">
        <v>323</v>
      </c>
      <c r="D434" s="206" t="s">
        <v>268</v>
      </c>
      <c r="E434" s="241">
        <f>0.0118*E433</f>
        <v>1.18E-2</v>
      </c>
      <c r="F434" s="208">
        <v>30.09</v>
      </c>
      <c r="G434" s="210">
        <f>F434*E434</f>
        <v>0.36</v>
      </c>
      <c r="H434" s="64" t="s">
        <v>59</v>
      </c>
      <c r="I434" s="666">
        <v>9.99</v>
      </c>
    </row>
    <row r="435" spans="1:9" ht="22.5" x14ac:dyDescent="0.25">
      <c r="A435" s="583"/>
      <c r="B435" s="429">
        <v>88267</v>
      </c>
      <c r="C435" s="430" t="s">
        <v>755</v>
      </c>
      <c r="D435" s="431" t="s">
        <v>257</v>
      </c>
      <c r="E435" s="432">
        <f>0.1925*E433</f>
        <v>0.1925</v>
      </c>
      <c r="F435" s="464">
        <v>17.940000000000001</v>
      </c>
      <c r="G435" s="434">
        <f>F435*E435</f>
        <v>3.45</v>
      </c>
      <c r="H435" s="277">
        <f>I434-H437</f>
        <v>6.05</v>
      </c>
    </row>
    <row r="436" spans="1:9" x14ac:dyDescent="0.25">
      <c r="A436" s="583"/>
      <c r="B436" s="429">
        <v>88316</v>
      </c>
      <c r="C436" s="430" t="s">
        <v>690</v>
      </c>
      <c r="D436" s="431" t="s">
        <v>257</v>
      </c>
      <c r="E436" s="432">
        <f>0.192*E433</f>
        <v>0.192</v>
      </c>
      <c r="F436" s="464">
        <v>13.56</v>
      </c>
      <c r="G436" s="434">
        <f>F436*E436</f>
        <v>2.6</v>
      </c>
      <c r="H436" s="806" t="s">
        <v>60</v>
      </c>
    </row>
    <row r="437" spans="1:9" x14ac:dyDescent="0.25">
      <c r="A437" s="583"/>
      <c r="B437" s="204">
        <v>20083</v>
      </c>
      <c r="C437" s="205" t="s">
        <v>324</v>
      </c>
      <c r="D437" s="206" t="s">
        <v>268</v>
      </c>
      <c r="E437" s="241">
        <f>0.004*E433</f>
        <v>4.0000000000000001E-3</v>
      </c>
      <c r="F437" s="208">
        <v>35.64</v>
      </c>
      <c r="G437" s="210">
        <f>F437*E437</f>
        <v>0.14000000000000001</v>
      </c>
      <c r="H437" s="820">
        <f>G434+G437+G438</f>
        <v>3.94</v>
      </c>
    </row>
    <row r="438" spans="1:9" ht="12" thickBot="1" x14ac:dyDescent="0.3">
      <c r="A438" s="584"/>
      <c r="B438" s="211">
        <v>7136</v>
      </c>
      <c r="C438" s="216" t="s">
        <v>450</v>
      </c>
      <c r="D438" s="212" t="s">
        <v>268</v>
      </c>
      <c r="E438" s="213">
        <f>1*E433</f>
        <v>1</v>
      </c>
      <c r="F438" s="214">
        <v>3.44</v>
      </c>
      <c r="G438" s="283">
        <f>F438*E438</f>
        <v>3.44</v>
      </c>
      <c r="H438" s="684"/>
    </row>
    <row r="439" spans="1:9" ht="23.25" thickBot="1" x14ac:dyDescent="0.3">
      <c r="A439" s="582" t="s">
        <v>159</v>
      </c>
      <c r="B439" s="590">
        <v>72454</v>
      </c>
      <c r="C439" s="78" t="s">
        <v>246</v>
      </c>
      <c r="D439" s="79" t="s">
        <v>268</v>
      </c>
      <c r="E439" s="80">
        <v>1</v>
      </c>
      <c r="F439" s="49">
        <f>SUM(G440:G444)/E439</f>
        <v>14.83</v>
      </c>
      <c r="G439" s="94">
        <f t="shared" ref="G439:G449" si="61">F439*E439</f>
        <v>14.83</v>
      </c>
      <c r="H439" s="677" t="s">
        <v>159</v>
      </c>
    </row>
    <row r="440" spans="1:9" ht="12" thickBot="1" x14ac:dyDescent="0.3">
      <c r="A440" s="583"/>
      <c r="B440" s="291">
        <v>122</v>
      </c>
      <c r="C440" s="205" t="s">
        <v>323</v>
      </c>
      <c r="D440" s="206" t="s">
        <v>268</v>
      </c>
      <c r="E440" s="241">
        <f>0.0224*E439</f>
        <v>2.24E-2</v>
      </c>
      <c r="F440" s="208">
        <v>30.09</v>
      </c>
      <c r="G440" s="210">
        <f t="shared" si="61"/>
        <v>0.67</v>
      </c>
      <c r="H440" s="64" t="s">
        <v>59</v>
      </c>
      <c r="I440" s="482">
        <v>14.83</v>
      </c>
    </row>
    <row r="441" spans="1:9" ht="22.5" x14ac:dyDescent="0.25">
      <c r="A441" s="583"/>
      <c r="B441" s="621">
        <v>88267</v>
      </c>
      <c r="C441" s="430" t="s">
        <v>755</v>
      </c>
      <c r="D441" s="431" t="s">
        <v>257</v>
      </c>
      <c r="E441" s="432">
        <f>0.271*E439</f>
        <v>0.27100000000000002</v>
      </c>
      <c r="F441" s="464">
        <v>17.940000000000001</v>
      </c>
      <c r="G441" s="434">
        <f t="shared" si="61"/>
        <v>4.8600000000000003</v>
      </c>
      <c r="H441" s="277">
        <f>I440-H443</f>
        <v>8.52</v>
      </c>
    </row>
    <row r="442" spans="1:9" x14ac:dyDescent="0.25">
      <c r="A442" s="583"/>
      <c r="B442" s="621">
        <v>88316</v>
      </c>
      <c r="C442" s="430" t="s">
        <v>690</v>
      </c>
      <c r="D442" s="431" t="s">
        <v>257</v>
      </c>
      <c r="E442" s="432">
        <f>0.27*E439</f>
        <v>0.27</v>
      </c>
      <c r="F442" s="464">
        <v>13.56</v>
      </c>
      <c r="G442" s="434">
        <f t="shared" si="61"/>
        <v>3.66</v>
      </c>
      <c r="H442" s="806" t="s">
        <v>60</v>
      </c>
    </row>
    <row r="443" spans="1:9" x14ac:dyDescent="0.25">
      <c r="A443" s="583"/>
      <c r="B443" s="291">
        <v>20083</v>
      </c>
      <c r="C443" s="205" t="s">
        <v>324</v>
      </c>
      <c r="D443" s="206" t="s">
        <v>268</v>
      </c>
      <c r="E443" s="241">
        <f>0.008*E439</f>
        <v>8.0000000000000002E-3</v>
      </c>
      <c r="F443" s="208">
        <v>35.64</v>
      </c>
      <c r="G443" s="210">
        <f t="shared" si="61"/>
        <v>0.28999999999999998</v>
      </c>
      <c r="H443" s="820">
        <f>G440+G443+G444</f>
        <v>6.31</v>
      </c>
    </row>
    <row r="444" spans="1:9" ht="12" thickBot="1" x14ac:dyDescent="0.3">
      <c r="A444" s="584"/>
      <c r="B444" s="293">
        <v>7129</v>
      </c>
      <c r="C444" s="216" t="s">
        <v>77</v>
      </c>
      <c r="D444" s="212" t="s">
        <v>268</v>
      </c>
      <c r="E444" s="213">
        <f>1*E439</f>
        <v>1</v>
      </c>
      <c r="F444" s="214">
        <v>5.35</v>
      </c>
      <c r="G444" s="283">
        <f t="shared" si="61"/>
        <v>5.35</v>
      </c>
      <c r="H444" s="684"/>
    </row>
    <row r="445" spans="1:9" ht="12" thickBot="1" x14ac:dyDescent="0.3">
      <c r="A445" s="582" t="s">
        <v>160</v>
      </c>
      <c r="B445" s="306">
        <v>73636</v>
      </c>
      <c r="C445" s="66" t="s">
        <v>549</v>
      </c>
      <c r="D445" s="67" t="s">
        <v>269</v>
      </c>
      <c r="E445" s="109">
        <v>1</v>
      </c>
      <c r="F445" s="30">
        <f>SUM(G446:G449)/E445</f>
        <v>12.1</v>
      </c>
      <c r="G445" s="45">
        <f t="shared" si="61"/>
        <v>12.1</v>
      </c>
      <c r="H445" s="684" t="s">
        <v>160</v>
      </c>
      <c r="I445" s="189"/>
    </row>
    <row r="446" spans="1:9" ht="23.25" thickBot="1" x14ac:dyDescent="0.3">
      <c r="A446" s="583"/>
      <c r="B446" s="429">
        <v>88267</v>
      </c>
      <c r="C446" s="430" t="s">
        <v>755</v>
      </c>
      <c r="D446" s="739" t="s">
        <v>281</v>
      </c>
      <c r="E446" s="379">
        <f>0.19*E445</f>
        <v>0.19</v>
      </c>
      <c r="F446" s="464">
        <v>17.940000000000001</v>
      </c>
      <c r="G446" s="741">
        <f t="shared" si="61"/>
        <v>3.41</v>
      </c>
      <c r="H446" s="64" t="s">
        <v>59</v>
      </c>
      <c r="I446" s="482">
        <v>12.1</v>
      </c>
    </row>
    <row r="447" spans="1:9" x14ac:dyDescent="0.25">
      <c r="A447" s="583"/>
      <c r="B447" s="222">
        <v>3146</v>
      </c>
      <c r="C447" s="223" t="s">
        <v>326</v>
      </c>
      <c r="D447" s="224" t="s">
        <v>269</v>
      </c>
      <c r="E447" s="298">
        <f>0.031*E445</f>
        <v>3.1E-2</v>
      </c>
      <c r="F447" s="226">
        <v>1.8</v>
      </c>
      <c r="G447" s="227">
        <f t="shared" si="61"/>
        <v>0.06</v>
      </c>
      <c r="H447" s="63">
        <f>I446-H449</f>
        <v>6.1</v>
      </c>
    </row>
    <row r="448" spans="1:9" ht="24.75" customHeight="1" x14ac:dyDescent="0.25">
      <c r="A448" s="583"/>
      <c r="B448" s="429">
        <v>88248</v>
      </c>
      <c r="C448" s="430" t="s">
        <v>756</v>
      </c>
      <c r="D448" s="739" t="s">
        <v>281</v>
      </c>
      <c r="E448" s="379">
        <f>0.19*E445</f>
        <v>0.19</v>
      </c>
      <c r="F448" s="464">
        <v>14.16</v>
      </c>
      <c r="G448" s="741">
        <f t="shared" si="61"/>
        <v>2.69</v>
      </c>
      <c r="H448" s="806" t="s">
        <v>60</v>
      </c>
    </row>
    <row r="449" spans="1:9" ht="12" thickBot="1" x14ac:dyDescent="0.3">
      <c r="A449" s="584"/>
      <c r="B449" s="278">
        <v>7137</v>
      </c>
      <c r="C449" s="279" t="s">
        <v>757</v>
      </c>
      <c r="D449" s="280" t="s">
        <v>269</v>
      </c>
      <c r="E449" s="300">
        <f>1*E445</f>
        <v>1</v>
      </c>
      <c r="F449" s="282">
        <v>5.94</v>
      </c>
      <c r="G449" s="283">
        <f t="shared" si="61"/>
        <v>5.94</v>
      </c>
      <c r="H449" s="821">
        <f>G447+G449</f>
        <v>6</v>
      </c>
    </row>
    <row r="450" spans="1:9" ht="12" thickBot="1" x14ac:dyDescent="0.3">
      <c r="A450" s="582" t="s">
        <v>161</v>
      </c>
      <c r="B450" s="306">
        <v>73637</v>
      </c>
      <c r="C450" s="66" t="s">
        <v>550</v>
      </c>
      <c r="D450" s="67" t="s">
        <v>269</v>
      </c>
      <c r="E450" s="109">
        <v>1</v>
      </c>
      <c r="F450" s="30">
        <f>SUM(G451:G454)/E450</f>
        <v>12.24</v>
      </c>
      <c r="G450" s="45">
        <f t="shared" ref="G450:G454" si="62">F450*E450</f>
        <v>12.24</v>
      </c>
      <c r="H450" s="684" t="s">
        <v>161</v>
      </c>
      <c r="I450" s="189"/>
    </row>
    <row r="451" spans="1:9" ht="23.25" thickBot="1" x14ac:dyDescent="0.3">
      <c r="A451" s="583"/>
      <c r="B451" s="429">
        <v>88267</v>
      </c>
      <c r="C451" s="430" t="s">
        <v>755</v>
      </c>
      <c r="D451" s="739" t="s">
        <v>281</v>
      </c>
      <c r="E451" s="379">
        <f>0.1905*E450</f>
        <v>0.1905</v>
      </c>
      <c r="F451" s="464">
        <v>17.940000000000001</v>
      </c>
      <c r="G451" s="741">
        <f t="shared" si="62"/>
        <v>3.42</v>
      </c>
      <c r="H451" s="64" t="s">
        <v>59</v>
      </c>
      <c r="I451" s="482">
        <v>12.24</v>
      </c>
    </row>
    <row r="452" spans="1:9" x14ac:dyDescent="0.25">
      <c r="A452" s="583"/>
      <c r="B452" s="222">
        <v>3146</v>
      </c>
      <c r="C452" s="223" t="s">
        <v>326</v>
      </c>
      <c r="D452" s="224" t="s">
        <v>269</v>
      </c>
      <c r="E452" s="298">
        <f>0.039*E450</f>
        <v>3.9E-2</v>
      </c>
      <c r="F452" s="226">
        <v>1.8</v>
      </c>
      <c r="G452" s="299">
        <f t="shared" si="62"/>
        <v>7.0000000000000007E-2</v>
      </c>
      <c r="H452" s="63">
        <f>I451-H454</f>
        <v>6.11</v>
      </c>
    </row>
    <row r="453" spans="1:9" ht="22.5" x14ac:dyDescent="0.25">
      <c r="A453" s="583"/>
      <c r="B453" s="429">
        <v>88248</v>
      </c>
      <c r="C453" s="430" t="s">
        <v>756</v>
      </c>
      <c r="D453" s="739" t="s">
        <v>281</v>
      </c>
      <c r="E453" s="379">
        <f>0.19*E450</f>
        <v>0.19</v>
      </c>
      <c r="F453" s="464">
        <v>14.16</v>
      </c>
      <c r="G453" s="741">
        <f t="shared" si="62"/>
        <v>2.69</v>
      </c>
      <c r="H453" s="806" t="s">
        <v>60</v>
      </c>
    </row>
    <row r="454" spans="1:9" ht="23.25" thickBot="1" x14ac:dyDescent="0.3">
      <c r="A454" s="584"/>
      <c r="B454" s="278">
        <v>7122</v>
      </c>
      <c r="C454" s="279" t="s">
        <v>451</v>
      </c>
      <c r="D454" s="280" t="s">
        <v>269</v>
      </c>
      <c r="E454" s="300">
        <f>1*E450</f>
        <v>1</v>
      </c>
      <c r="F454" s="282">
        <v>6.06</v>
      </c>
      <c r="G454" s="301">
        <f t="shared" si="62"/>
        <v>6.06</v>
      </c>
      <c r="H454" s="820">
        <f>G452+G454</f>
        <v>6.13</v>
      </c>
    </row>
    <row r="455" spans="1:9" ht="23.25" thickBot="1" x14ac:dyDescent="0.3">
      <c r="A455" s="582" t="s">
        <v>162</v>
      </c>
      <c r="B455" s="306">
        <v>72643</v>
      </c>
      <c r="C455" s="66" t="s">
        <v>452</v>
      </c>
      <c r="D455" s="67" t="s">
        <v>269</v>
      </c>
      <c r="E455" s="111">
        <v>1</v>
      </c>
      <c r="F455" s="30">
        <f>SUM(G456:G460)/E455</f>
        <v>3.69</v>
      </c>
      <c r="G455" s="45">
        <f>F455*E455</f>
        <v>3.69</v>
      </c>
      <c r="H455" s="677" t="s">
        <v>162</v>
      </c>
      <c r="I455" s="189"/>
    </row>
    <row r="456" spans="1:9" ht="12" thickBot="1" x14ac:dyDescent="0.3">
      <c r="A456" s="583"/>
      <c r="B456" s="204">
        <v>122</v>
      </c>
      <c r="C456" s="205" t="s">
        <v>323</v>
      </c>
      <c r="D456" s="206" t="s">
        <v>268</v>
      </c>
      <c r="E456" s="241">
        <f>0.0059*E455</f>
        <v>5.8999999999999999E-3</v>
      </c>
      <c r="F456" s="208">
        <v>30.09</v>
      </c>
      <c r="G456" s="210">
        <f>F456*E456</f>
        <v>0.18</v>
      </c>
      <c r="H456" s="64" t="s">
        <v>59</v>
      </c>
      <c r="I456" s="482">
        <v>3.69</v>
      </c>
    </row>
    <row r="457" spans="1:9" ht="22.5" x14ac:dyDescent="0.25">
      <c r="A457" s="583"/>
      <c r="B457" s="429">
        <v>88267</v>
      </c>
      <c r="C457" s="430" t="s">
        <v>755</v>
      </c>
      <c r="D457" s="431" t="s">
        <v>257</v>
      </c>
      <c r="E457" s="432">
        <f>0.091*E455</f>
        <v>9.0999999999999998E-2</v>
      </c>
      <c r="F457" s="464">
        <v>17.940000000000001</v>
      </c>
      <c r="G457" s="434">
        <f>F457*E457</f>
        <v>1.63</v>
      </c>
      <c r="H457" s="277">
        <f>I456-H459</f>
        <v>2.85</v>
      </c>
    </row>
    <row r="458" spans="1:9" x14ac:dyDescent="0.25">
      <c r="A458" s="583"/>
      <c r="B458" s="429">
        <v>88316</v>
      </c>
      <c r="C458" s="430" t="s">
        <v>690</v>
      </c>
      <c r="D458" s="431" t="s">
        <v>257</v>
      </c>
      <c r="E458" s="432">
        <f>0.09*E455</f>
        <v>0.09</v>
      </c>
      <c r="F458" s="464">
        <v>13.56</v>
      </c>
      <c r="G458" s="434">
        <f>F458*E458</f>
        <v>1.22</v>
      </c>
      <c r="H458" s="806" t="s">
        <v>60</v>
      </c>
    </row>
    <row r="459" spans="1:9" x14ac:dyDescent="0.25">
      <c r="A459" s="583"/>
      <c r="B459" s="204">
        <v>20083</v>
      </c>
      <c r="C459" s="205" t="s">
        <v>324</v>
      </c>
      <c r="D459" s="206" t="s">
        <v>268</v>
      </c>
      <c r="E459" s="241">
        <f>0.006*E455</f>
        <v>6.0000000000000001E-3</v>
      </c>
      <c r="F459" s="208">
        <v>35.64</v>
      </c>
      <c r="G459" s="210">
        <f>F459*E459</f>
        <v>0.21</v>
      </c>
      <c r="H459" s="820">
        <f>G456+G459+G460</f>
        <v>0.84</v>
      </c>
    </row>
    <row r="460" spans="1:9" ht="12" thickBot="1" x14ac:dyDescent="0.3">
      <c r="A460" s="584"/>
      <c r="B460" s="278">
        <v>3904</v>
      </c>
      <c r="C460" s="279" t="s">
        <v>453</v>
      </c>
      <c r="D460" s="280" t="s">
        <v>268</v>
      </c>
      <c r="E460" s="297">
        <f>1*E455</f>
        <v>1</v>
      </c>
      <c r="F460" s="282">
        <v>0.45</v>
      </c>
      <c r="G460" s="283">
        <f t="shared" ref="G460:G465" si="63">F460*E460</f>
        <v>0.45</v>
      </c>
      <c r="H460" s="684"/>
    </row>
    <row r="461" spans="1:9" ht="23.25" thickBot="1" x14ac:dyDescent="0.3">
      <c r="A461" s="582" t="s">
        <v>163</v>
      </c>
      <c r="B461" s="306">
        <v>72644</v>
      </c>
      <c r="C461" s="66" t="s">
        <v>73</v>
      </c>
      <c r="D461" s="67" t="s">
        <v>269</v>
      </c>
      <c r="E461" s="111">
        <v>1</v>
      </c>
      <c r="F461" s="30">
        <f>SUM(G462:G466)/E461</f>
        <v>4.8499999999999996</v>
      </c>
      <c r="G461" s="45">
        <f t="shared" si="63"/>
        <v>4.8499999999999996</v>
      </c>
      <c r="H461" s="677" t="s">
        <v>163</v>
      </c>
    </row>
    <row r="462" spans="1:9" ht="12" thickBot="1" x14ac:dyDescent="0.3">
      <c r="A462" s="583"/>
      <c r="B462" s="204">
        <v>122</v>
      </c>
      <c r="C462" s="205" t="s">
        <v>323</v>
      </c>
      <c r="D462" s="206" t="s">
        <v>268</v>
      </c>
      <c r="E462" s="241">
        <f>0.0082*E461</f>
        <v>8.2000000000000007E-3</v>
      </c>
      <c r="F462" s="208">
        <v>30.09</v>
      </c>
      <c r="G462" s="210">
        <f t="shared" si="63"/>
        <v>0.25</v>
      </c>
      <c r="H462" s="64" t="s">
        <v>59</v>
      </c>
      <c r="I462" s="482">
        <v>4.8499999999999996</v>
      </c>
    </row>
    <row r="463" spans="1:9" ht="22.5" x14ac:dyDescent="0.25">
      <c r="A463" s="583"/>
      <c r="B463" s="429">
        <v>88267</v>
      </c>
      <c r="C463" s="430" t="s">
        <v>755</v>
      </c>
      <c r="D463" s="431" t="s">
        <v>257</v>
      </c>
      <c r="E463" s="432">
        <f>0.112*E461</f>
        <v>0.112</v>
      </c>
      <c r="F463" s="464">
        <v>17.940000000000001</v>
      </c>
      <c r="G463" s="434">
        <f>F463*E463</f>
        <v>2.0099999999999998</v>
      </c>
      <c r="H463" s="277">
        <f>I462-H465</f>
        <v>3.5</v>
      </c>
    </row>
    <row r="464" spans="1:9" x14ac:dyDescent="0.25">
      <c r="A464" s="583"/>
      <c r="B464" s="429">
        <v>88316</v>
      </c>
      <c r="C464" s="430" t="s">
        <v>690</v>
      </c>
      <c r="D464" s="431" t="s">
        <v>257</v>
      </c>
      <c r="E464" s="432">
        <f>0.11*E461</f>
        <v>0.11</v>
      </c>
      <c r="F464" s="464">
        <v>13.56</v>
      </c>
      <c r="G464" s="434">
        <f>F464*E464</f>
        <v>1.49</v>
      </c>
      <c r="H464" s="806" t="s">
        <v>60</v>
      </c>
    </row>
    <row r="465" spans="1:9" x14ac:dyDescent="0.25">
      <c r="A465" s="583"/>
      <c r="B465" s="204">
        <v>20083</v>
      </c>
      <c r="C465" s="205" t="s">
        <v>324</v>
      </c>
      <c r="D465" s="206" t="s">
        <v>268</v>
      </c>
      <c r="E465" s="241">
        <f>0.007*E461</f>
        <v>7.0000000000000001E-3</v>
      </c>
      <c r="F465" s="208">
        <v>35.64</v>
      </c>
      <c r="G465" s="210">
        <f t="shared" si="63"/>
        <v>0.25</v>
      </c>
      <c r="H465" s="820">
        <f>G462+G465+G466</f>
        <v>1.35</v>
      </c>
    </row>
    <row r="466" spans="1:9" ht="12" thickBot="1" x14ac:dyDescent="0.3">
      <c r="A466" s="584"/>
      <c r="B466" s="278">
        <v>3903</v>
      </c>
      <c r="C466" s="279" t="s">
        <v>74</v>
      </c>
      <c r="D466" s="280" t="s">
        <v>268</v>
      </c>
      <c r="E466" s="297">
        <f>1*E461</f>
        <v>1</v>
      </c>
      <c r="F466" s="282">
        <v>0.85</v>
      </c>
      <c r="G466" s="283">
        <f t="shared" ref="G466:G477" si="64">F466*E466</f>
        <v>0.85</v>
      </c>
      <c r="H466" s="684"/>
    </row>
    <row r="467" spans="1:9" ht="23.25" thickBot="1" x14ac:dyDescent="0.3">
      <c r="A467" s="582" t="s">
        <v>164</v>
      </c>
      <c r="B467" s="306">
        <v>72646</v>
      </c>
      <c r="C467" s="66" t="s">
        <v>454</v>
      </c>
      <c r="D467" s="67" t="s">
        <v>269</v>
      </c>
      <c r="E467" s="111">
        <v>1</v>
      </c>
      <c r="F467" s="30">
        <f>SUM(G468:G472)/E467</f>
        <v>7.42</v>
      </c>
      <c r="G467" s="45">
        <f t="shared" si="64"/>
        <v>7.42</v>
      </c>
      <c r="H467" s="677" t="s">
        <v>164</v>
      </c>
      <c r="I467" s="189"/>
    </row>
    <row r="468" spans="1:9" ht="12" thickBot="1" x14ac:dyDescent="0.3">
      <c r="A468" s="583"/>
      <c r="B468" s="204">
        <v>122</v>
      </c>
      <c r="C468" s="205" t="s">
        <v>323</v>
      </c>
      <c r="D468" s="206" t="s">
        <v>268</v>
      </c>
      <c r="E468" s="241">
        <f>0.0153*E467</f>
        <v>1.5299999999999999E-2</v>
      </c>
      <c r="F468" s="208">
        <v>30.09</v>
      </c>
      <c r="G468" s="210">
        <f t="shared" si="64"/>
        <v>0.46</v>
      </c>
      <c r="H468" s="64" t="s">
        <v>59</v>
      </c>
      <c r="I468" s="482">
        <v>7.42</v>
      </c>
    </row>
    <row r="469" spans="1:9" ht="22.5" x14ac:dyDescent="0.25">
      <c r="A469" s="583"/>
      <c r="B469" s="429">
        <v>88267</v>
      </c>
      <c r="C469" s="430" t="s">
        <v>755</v>
      </c>
      <c r="D469" s="431" t="s">
        <v>257</v>
      </c>
      <c r="E469" s="432">
        <f>0.145*E467</f>
        <v>0.14499999999999999</v>
      </c>
      <c r="F469" s="464">
        <v>17.940000000000001</v>
      </c>
      <c r="G469" s="434">
        <f>F469*E469</f>
        <v>2.6</v>
      </c>
      <c r="H469" s="277">
        <f>I468-H471</f>
        <v>4.5</v>
      </c>
    </row>
    <row r="470" spans="1:9" x14ac:dyDescent="0.25">
      <c r="A470" s="583"/>
      <c r="B470" s="429">
        <v>88316</v>
      </c>
      <c r="C470" s="430" t="s">
        <v>690</v>
      </c>
      <c r="D470" s="431" t="s">
        <v>257</v>
      </c>
      <c r="E470" s="432">
        <f>0.14*E467</f>
        <v>0.14000000000000001</v>
      </c>
      <c r="F470" s="464">
        <v>13.56</v>
      </c>
      <c r="G470" s="434">
        <f>F470*E470</f>
        <v>1.9</v>
      </c>
      <c r="H470" s="806" t="s">
        <v>60</v>
      </c>
    </row>
    <row r="471" spans="1:9" x14ac:dyDescent="0.25">
      <c r="A471" s="583"/>
      <c r="B471" s="204">
        <v>20083</v>
      </c>
      <c r="C471" s="205" t="s">
        <v>324</v>
      </c>
      <c r="D471" s="206" t="s">
        <v>268</v>
      </c>
      <c r="E471" s="241">
        <f>0.018*E467</f>
        <v>1.7999999999999999E-2</v>
      </c>
      <c r="F471" s="208">
        <v>35.64</v>
      </c>
      <c r="G471" s="210">
        <f t="shared" si="64"/>
        <v>0.64</v>
      </c>
      <c r="H471" s="820">
        <f>G468+G471+G472</f>
        <v>2.92</v>
      </c>
    </row>
    <row r="472" spans="1:9" ht="12" thickBot="1" x14ac:dyDescent="0.3">
      <c r="A472" s="584"/>
      <c r="B472" s="278">
        <v>3863</v>
      </c>
      <c r="C472" s="279" t="s">
        <v>455</v>
      </c>
      <c r="D472" s="280" t="s">
        <v>268</v>
      </c>
      <c r="E472" s="297">
        <f>1*E467</f>
        <v>1</v>
      </c>
      <c r="F472" s="282">
        <v>1.82</v>
      </c>
      <c r="G472" s="283">
        <f>F472*E472</f>
        <v>1.82</v>
      </c>
      <c r="H472" s="684"/>
    </row>
    <row r="473" spans="1:9" ht="23.25" thickBot="1" x14ac:dyDescent="0.3">
      <c r="A473" s="582" t="s">
        <v>165</v>
      </c>
      <c r="B473" s="306">
        <v>73648</v>
      </c>
      <c r="C473" s="66" t="s">
        <v>85</v>
      </c>
      <c r="D473" s="67" t="s">
        <v>269</v>
      </c>
      <c r="E473" s="109">
        <v>1</v>
      </c>
      <c r="F473" s="30">
        <f>SUM(G474:G477)/E473</f>
        <v>5.65</v>
      </c>
      <c r="G473" s="45">
        <f t="shared" si="64"/>
        <v>5.65</v>
      </c>
      <c r="H473" s="684" t="s">
        <v>165</v>
      </c>
      <c r="I473" s="189"/>
    </row>
    <row r="474" spans="1:9" ht="23.25" thickBot="1" x14ac:dyDescent="0.3">
      <c r="A474" s="583"/>
      <c r="B474" s="429">
        <v>88267</v>
      </c>
      <c r="C474" s="430" t="s">
        <v>755</v>
      </c>
      <c r="D474" s="739" t="s">
        <v>281</v>
      </c>
      <c r="E474" s="379">
        <f>0.15*E473</f>
        <v>0.15</v>
      </c>
      <c r="F474" s="464">
        <v>17.940000000000001</v>
      </c>
      <c r="G474" s="741">
        <f t="shared" si="64"/>
        <v>2.69</v>
      </c>
      <c r="H474" s="64" t="s">
        <v>59</v>
      </c>
      <c r="I474" s="482">
        <v>5.65</v>
      </c>
    </row>
    <row r="475" spans="1:9" x14ac:dyDescent="0.25">
      <c r="A475" s="583"/>
      <c r="B475" s="222">
        <v>3146</v>
      </c>
      <c r="C475" s="223" t="s">
        <v>326</v>
      </c>
      <c r="D475" s="224" t="s">
        <v>269</v>
      </c>
      <c r="E475" s="298">
        <f>0.039*E473</f>
        <v>3.9E-2</v>
      </c>
      <c r="F475" s="226">
        <v>1.8</v>
      </c>
      <c r="G475" s="299">
        <f t="shared" si="64"/>
        <v>7.0000000000000007E-2</v>
      </c>
      <c r="H475" s="63">
        <f>I474-H477</f>
        <v>4.8099999999999996</v>
      </c>
    </row>
    <row r="476" spans="1:9" ht="22.5" x14ac:dyDescent="0.25">
      <c r="A476" s="583"/>
      <c r="B476" s="429">
        <v>88248</v>
      </c>
      <c r="C476" s="430" t="s">
        <v>756</v>
      </c>
      <c r="D476" s="739" t="s">
        <v>281</v>
      </c>
      <c r="E476" s="379">
        <f>0.15*E473</f>
        <v>0.15</v>
      </c>
      <c r="F476" s="464">
        <v>14.16</v>
      </c>
      <c r="G476" s="741">
        <f t="shared" si="64"/>
        <v>2.12</v>
      </c>
      <c r="H476" s="806" t="s">
        <v>60</v>
      </c>
    </row>
    <row r="477" spans="1:9" ht="12" thickBot="1" x14ac:dyDescent="0.3">
      <c r="A477" s="584"/>
      <c r="B477" s="278">
        <v>3906</v>
      </c>
      <c r="C477" s="279" t="s">
        <v>456</v>
      </c>
      <c r="D477" s="280" t="s">
        <v>269</v>
      </c>
      <c r="E477" s="300">
        <f>1*E473</f>
        <v>1</v>
      </c>
      <c r="F477" s="282">
        <v>0.77</v>
      </c>
      <c r="G477" s="301">
        <f t="shared" si="64"/>
        <v>0.77</v>
      </c>
      <c r="H477" s="821">
        <f>G475+G477</f>
        <v>0.84</v>
      </c>
    </row>
    <row r="478" spans="1:9" ht="22.5" x14ac:dyDescent="0.25">
      <c r="A478" s="582" t="s">
        <v>166</v>
      </c>
      <c r="B478" s="305" t="s">
        <v>348</v>
      </c>
      <c r="C478" s="42" t="s">
        <v>64</v>
      </c>
      <c r="D478" s="43" t="s">
        <v>268</v>
      </c>
      <c r="E478" s="75">
        <v>1</v>
      </c>
      <c r="F478" s="30">
        <f>SUM(G479:G484)/E478</f>
        <v>3.42</v>
      </c>
      <c r="G478" s="45">
        <f t="shared" ref="G478:G491" si="65">F478*E478</f>
        <v>3.42</v>
      </c>
      <c r="H478" s="677" t="s">
        <v>166</v>
      </c>
    </row>
    <row r="479" spans="1:9" ht="22.5" x14ac:dyDescent="0.25">
      <c r="A479" s="583"/>
      <c r="B479" s="204">
        <v>65</v>
      </c>
      <c r="C479" s="205" t="s">
        <v>65</v>
      </c>
      <c r="D479" s="206" t="s">
        <v>268</v>
      </c>
      <c r="E479" s="207">
        <f>1*E478</f>
        <v>1</v>
      </c>
      <c r="F479" s="208">
        <v>0.5</v>
      </c>
      <c r="G479" s="210">
        <f t="shared" si="65"/>
        <v>0.5</v>
      </c>
      <c r="H479" s="64" t="s">
        <v>59</v>
      </c>
    </row>
    <row r="480" spans="1:9" x14ac:dyDescent="0.25">
      <c r="A480" s="583"/>
      <c r="B480" s="204">
        <v>122</v>
      </c>
      <c r="C480" s="205" t="s">
        <v>323</v>
      </c>
      <c r="D480" s="206" t="s">
        <v>268</v>
      </c>
      <c r="E480" s="207">
        <f>0.0029*E478</f>
        <v>2.8999999999999998E-3</v>
      </c>
      <c r="F480" s="208">
        <v>30.09</v>
      </c>
      <c r="G480" s="210">
        <f t="shared" si="65"/>
        <v>0.09</v>
      </c>
      <c r="H480" s="63">
        <f>(G481+G483)/E478</f>
        <v>2.65</v>
      </c>
    </row>
    <row r="481" spans="1:9" x14ac:dyDescent="0.25">
      <c r="A481" s="583"/>
      <c r="B481" s="429">
        <v>2696</v>
      </c>
      <c r="C481" s="430" t="s">
        <v>260</v>
      </c>
      <c r="D481" s="431" t="s">
        <v>257</v>
      </c>
      <c r="E481" s="371">
        <f>0.1*E478</f>
        <v>0.1</v>
      </c>
      <c r="F481" s="464">
        <v>14.85</v>
      </c>
      <c r="G481" s="434">
        <f t="shared" si="65"/>
        <v>1.49</v>
      </c>
      <c r="H481" s="806" t="s">
        <v>60</v>
      </c>
    </row>
    <row r="482" spans="1:9" x14ac:dyDescent="0.25">
      <c r="A482" s="583"/>
      <c r="B482" s="204">
        <v>3143</v>
      </c>
      <c r="C482" s="205" t="s">
        <v>325</v>
      </c>
      <c r="D482" s="206" t="s">
        <v>268</v>
      </c>
      <c r="E482" s="207">
        <f>0.0094*E478</f>
        <v>9.4000000000000004E-3</v>
      </c>
      <c r="F482" s="226">
        <v>4.1500000000000004</v>
      </c>
      <c r="G482" s="210">
        <f t="shared" si="65"/>
        <v>0.04</v>
      </c>
      <c r="H482" s="821">
        <f>G479+G480+G482+G484</f>
        <v>0.77</v>
      </c>
    </row>
    <row r="483" spans="1:9" x14ac:dyDescent="0.25">
      <c r="A483" s="583"/>
      <c r="B483" s="429">
        <v>6116</v>
      </c>
      <c r="C483" s="430" t="s">
        <v>322</v>
      </c>
      <c r="D483" s="431" t="s">
        <v>257</v>
      </c>
      <c r="E483" s="371">
        <f>0.1*E478</f>
        <v>0.1</v>
      </c>
      <c r="F483" s="464">
        <v>11.57</v>
      </c>
      <c r="G483" s="434">
        <f t="shared" si="65"/>
        <v>1.1599999999999999</v>
      </c>
      <c r="H483" s="678"/>
    </row>
    <row r="484" spans="1:9" ht="12" thickBot="1" x14ac:dyDescent="0.3">
      <c r="A484" s="584"/>
      <c r="B484" s="211">
        <v>20083</v>
      </c>
      <c r="C484" s="216" t="s">
        <v>324</v>
      </c>
      <c r="D484" s="212" t="s">
        <v>268</v>
      </c>
      <c r="E484" s="213">
        <f>0.004*E478</f>
        <v>4.0000000000000001E-3</v>
      </c>
      <c r="F484" s="214">
        <v>35.64</v>
      </c>
      <c r="G484" s="215">
        <f t="shared" si="65"/>
        <v>0.14000000000000001</v>
      </c>
      <c r="H484" s="678"/>
    </row>
    <row r="485" spans="1:9" ht="22.5" x14ac:dyDescent="0.25">
      <c r="A485" s="582" t="s">
        <v>167</v>
      </c>
      <c r="B485" s="305" t="s">
        <v>349</v>
      </c>
      <c r="C485" s="42" t="s">
        <v>66</v>
      </c>
      <c r="D485" s="43" t="s">
        <v>268</v>
      </c>
      <c r="E485" s="75">
        <v>1</v>
      </c>
      <c r="F485" s="30">
        <f>SUM(G486:G491)/E485</f>
        <v>4.59</v>
      </c>
      <c r="G485" s="45">
        <f t="shared" si="65"/>
        <v>4.59</v>
      </c>
      <c r="H485" s="677" t="s">
        <v>167</v>
      </c>
      <c r="I485" s="189"/>
    </row>
    <row r="486" spans="1:9" ht="22.5" x14ac:dyDescent="0.25">
      <c r="A486" s="583"/>
      <c r="B486" s="204">
        <v>108</v>
      </c>
      <c r="C486" s="205" t="s">
        <v>67</v>
      </c>
      <c r="D486" s="206" t="s">
        <v>268</v>
      </c>
      <c r="E486" s="207">
        <f>1*E485</f>
        <v>1</v>
      </c>
      <c r="F486" s="208">
        <v>1.05</v>
      </c>
      <c r="G486" s="210">
        <f t="shared" si="65"/>
        <v>1.05</v>
      </c>
      <c r="H486" s="64" t="s">
        <v>59</v>
      </c>
    </row>
    <row r="487" spans="1:9" x14ac:dyDescent="0.25">
      <c r="A487" s="583"/>
      <c r="B487" s="204">
        <v>122</v>
      </c>
      <c r="C487" s="205" t="s">
        <v>323</v>
      </c>
      <c r="D487" s="206" t="s">
        <v>268</v>
      </c>
      <c r="E487" s="207">
        <f>0.0041*E485</f>
        <v>4.1000000000000003E-3</v>
      </c>
      <c r="F487" s="208">
        <v>30.09</v>
      </c>
      <c r="G487" s="210">
        <f t="shared" si="65"/>
        <v>0.12</v>
      </c>
      <c r="H487" s="63">
        <f>(G488+G490)/E485</f>
        <v>3.17</v>
      </c>
    </row>
    <row r="488" spans="1:9" x14ac:dyDescent="0.25">
      <c r="A488" s="583"/>
      <c r="B488" s="429">
        <v>2696</v>
      </c>
      <c r="C488" s="430" t="s">
        <v>260</v>
      </c>
      <c r="D488" s="431" t="s">
        <v>257</v>
      </c>
      <c r="E488" s="371">
        <f>0.12*E485</f>
        <v>0.12</v>
      </c>
      <c r="F488" s="464">
        <v>14.85</v>
      </c>
      <c r="G488" s="434">
        <f t="shared" si="65"/>
        <v>1.78</v>
      </c>
      <c r="H488" s="806" t="s">
        <v>60</v>
      </c>
    </row>
    <row r="489" spans="1:9" x14ac:dyDescent="0.25">
      <c r="A489" s="583"/>
      <c r="B489" s="204">
        <v>3143</v>
      </c>
      <c r="C489" s="205" t="s">
        <v>325</v>
      </c>
      <c r="D489" s="206" t="s">
        <v>268</v>
      </c>
      <c r="E489" s="207">
        <f>0.012*E485</f>
        <v>1.2E-2</v>
      </c>
      <c r="F489" s="226">
        <v>4.1500000000000004</v>
      </c>
      <c r="G489" s="210">
        <f t="shared" si="65"/>
        <v>0.05</v>
      </c>
      <c r="H489" s="821">
        <f>F485-H487</f>
        <v>1.42</v>
      </c>
    </row>
    <row r="490" spans="1:9" x14ac:dyDescent="0.25">
      <c r="A490" s="583"/>
      <c r="B490" s="429">
        <v>6116</v>
      </c>
      <c r="C490" s="430" t="s">
        <v>322</v>
      </c>
      <c r="D490" s="431" t="s">
        <v>257</v>
      </c>
      <c r="E490" s="371">
        <f>0.12*E485</f>
        <v>0.12</v>
      </c>
      <c r="F490" s="464">
        <v>11.57</v>
      </c>
      <c r="G490" s="434">
        <f t="shared" si="65"/>
        <v>1.39</v>
      </c>
      <c r="H490" s="678"/>
    </row>
    <row r="491" spans="1:9" ht="12" thickBot="1" x14ac:dyDescent="0.3">
      <c r="A491" s="584"/>
      <c r="B491" s="211">
        <v>20083</v>
      </c>
      <c r="C491" s="216" t="s">
        <v>324</v>
      </c>
      <c r="D491" s="212" t="s">
        <v>268</v>
      </c>
      <c r="E491" s="213">
        <f>0.0055*E485</f>
        <v>5.4999999999999997E-3</v>
      </c>
      <c r="F491" s="214">
        <v>35.64</v>
      </c>
      <c r="G491" s="215">
        <f t="shared" si="65"/>
        <v>0.2</v>
      </c>
      <c r="H491" s="678"/>
    </row>
    <row r="492" spans="1:9" ht="22.5" x14ac:dyDescent="0.25">
      <c r="A492" s="582" t="s">
        <v>168</v>
      </c>
      <c r="B492" s="605" t="s">
        <v>458</v>
      </c>
      <c r="C492" s="42" t="s">
        <v>457</v>
      </c>
      <c r="D492" s="43" t="s">
        <v>268</v>
      </c>
      <c r="E492" s="75">
        <v>1</v>
      </c>
      <c r="F492" s="30">
        <f>SUM(G493:G498)/E492</f>
        <v>7.09</v>
      </c>
      <c r="G492" s="45">
        <f t="shared" ref="G492:G498" si="66">F492*E492</f>
        <v>7.09</v>
      </c>
      <c r="H492" s="677" t="s">
        <v>168</v>
      </c>
    </row>
    <row r="493" spans="1:9" ht="21.75" customHeight="1" x14ac:dyDescent="0.25">
      <c r="A493" s="583"/>
      <c r="B493" s="291">
        <v>112</v>
      </c>
      <c r="C493" s="205" t="s">
        <v>459</v>
      </c>
      <c r="D493" s="206" t="s">
        <v>268</v>
      </c>
      <c r="E493" s="207">
        <f>1*E492</f>
        <v>1</v>
      </c>
      <c r="F493" s="208">
        <v>2.75</v>
      </c>
      <c r="G493" s="210">
        <f t="shared" si="66"/>
        <v>2.75</v>
      </c>
      <c r="H493" s="64" t="s">
        <v>59</v>
      </c>
    </row>
    <row r="494" spans="1:9" x14ac:dyDescent="0.25">
      <c r="A494" s="583"/>
      <c r="B494" s="291">
        <v>122</v>
      </c>
      <c r="C494" s="205" t="s">
        <v>323</v>
      </c>
      <c r="D494" s="206" t="s">
        <v>268</v>
      </c>
      <c r="E494" s="207">
        <f>0.0041*E492</f>
        <v>4.1000000000000003E-3</v>
      </c>
      <c r="F494" s="208">
        <v>30.09</v>
      </c>
      <c r="G494" s="210">
        <f t="shared" si="66"/>
        <v>0.12</v>
      </c>
      <c r="H494" s="63">
        <f>(G495+G497)/E492</f>
        <v>3.97</v>
      </c>
    </row>
    <row r="495" spans="1:9" x14ac:dyDescent="0.25">
      <c r="A495" s="583"/>
      <c r="B495" s="621">
        <v>2696</v>
      </c>
      <c r="C495" s="430" t="s">
        <v>260</v>
      </c>
      <c r="D495" s="431" t="s">
        <v>257</v>
      </c>
      <c r="E495" s="371">
        <f>0.15*E492</f>
        <v>0.15</v>
      </c>
      <c r="F495" s="464">
        <v>14.85</v>
      </c>
      <c r="G495" s="434">
        <f t="shared" si="66"/>
        <v>2.23</v>
      </c>
      <c r="H495" s="64" t="s">
        <v>60</v>
      </c>
    </row>
    <row r="496" spans="1:9" x14ac:dyDescent="0.25">
      <c r="A496" s="583"/>
      <c r="B496" s="291">
        <v>3143</v>
      </c>
      <c r="C496" s="205" t="s">
        <v>325</v>
      </c>
      <c r="D496" s="206" t="s">
        <v>268</v>
      </c>
      <c r="E496" s="207">
        <f>0.012*E492</f>
        <v>1.2E-2</v>
      </c>
      <c r="F496" s="226">
        <v>4.1500000000000004</v>
      </c>
      <c r="G496" s="210">
        <f t="shared" si="66"/>
        <v>0.05</v>
      </c>
      <c r="H496" s="63">
        <f>F492-H494</f>
        <v>3.12</v>
      </c>
    </row>
    <row r="497" spans="1:9" x14ac:dyDescent="0.25">
      <c r="A497" s="583"/>
      <c r="B497" s="621">
        <v>6116</v>
      </c>
      <c r="C497" s="430" t="s">
        <v>322</v>
      </c>
      <c r="D497" s="431" t="s">
        <v>257</v>
      </c>
      <c r="E497" s="371">
        <f>0.15*E492</f>
        <v>0.15</v>
      </c>
      <c r="F497" s="464">
        <v>11.57</v>
      </c>
      <c r="G497" s="434">
        <f t="shared" si="66"/>
        <v>1.74</v>
      </c>
      <c r="H497" s="678"/>
    </row>
    <row r="498" spans="1:9" ht="12" thickBot="1" x14ac:dyDescent="0.3">
      <c r="A498" s="584"/>
      <c r="B498" s="293">
        <v>20083</v>
      </c>
      <c r="C498" s="216" t="s">
        <v>324</v>
      </c>
      <c r="D498" s="212" t="s">
        <v>268</v>
      </c>
      <c r="E498" s="213">
        <f>0.0055*E492</f>
        <v>5.4999999999999997E-3</v>
      </c>
      <c r="F498" s="214">
        <v>35.64</v>
      </c>
      <c r="G498" s="215">
        <f t="shared" si="66"/>
        <v>0.2</v>
      </c>
      <c r="H498" s="678"/>
    </row>
    <row r="499" spans="1:9" ht="22.5" x14ac:dyDescent="0.25">
      <c r="A499" s="582" t="s">
        <v>169</v>
      </c>
      <c r="B499" s="590" t="s">
        <v>551</v>
      </c>
      <c r="C499" s="78" t="s">
        <v>460</v>
      </c>
      <c r="D499" s="79" t="s">
        <v>268</v>
      </c>
      <c r="E499" s="87">
        <v>1</v>
      </c>
      <c r="F499" s="49">
        <f>SUM(G500:G505)/E499</f>
        <v>13.63</v>
      </c>
      <c r="G499" s="94">
        <f>F499*E499</f>
        <v>13.63</v>
      </c>
      <c r="H499" s="677" t="s">
        <v>169</v>
      </c>
    </row>
    <row r="500" spans="1:9" ht="22.5" customHeight="1" x14ac:dyDescent="0.25">
      <c r="A500" s="583"/>
      <c r="B500" s="291">
        <v>111</v>
      </c>
      <c r="C500" s="205" t="s">
        <v>461</v>
      </c>
      <c r="D500" s="206" t="s">
        <v>268</v>
      </c>
      <c r="E500" s="207">
        <v>2</v>
      </c>
      <c r="F500" s="208">
        <v>4.8499999999999996</v>
      </c>
      <c r="G500" s="302">
        <f t="shared" ref="G500:G505" si="67">F500*E500</f>
        <v>9.6999999999999993</v>
      </c>
      <c r="H500" s="64" t="s">
        <v>59</v>
      </c>
    </row>
    <row r="501" spans="1:9" x14ac:dyDescent="0.25">
      <c r="A501" s="583"/>
      <c r="B501" s="291">
        <v>122</v>
      </c>
      <c r="C501" s="205" t="s">
        <v>323</v>
      </c>
      <c r="D501" s="206" t="s">
        <v>268</v>
      </c>
      <c r="E501" s="207">
        <f>0.0117*E499</f>
        <v>1.17E-2</v>
      </c>
      <c r="F501" s="208">
        <v>30.09</v>
      </c>
      <c r="G501" s="210">
        <f t="shared" si="67"/>
        <v>0.35</v>
      </c>
      <c r="H501" s="63">
        <f>(G502+G504)/E499</f>
        <v>2.96</v>
      </c>
    </row>
    <row r="502" spans="1:9" x14ac:dyDescent="0.25">
      <c r="A502" s="583"/>
      <c r="B502" s="621">
        <v>2696</v>
      </c>
      <c r="C502" s="430" t="s">
        <v>260</v>
      </c>
      <c r="D502" s="431" t="s">
        <v>257</v>
      </c>
      <c r="E502" s="371">
        <f>0.112*E499</f>
        <v>0.112</v>
      </c>
      <c r="F502" s="464">
        <v>14.85</v>
      </c>
      <c r="G502" s="434">
        <f t="shared" si="67"/>
        <v>1.66</v>
      </c>
      <c r="H502" s="64" t="s">
        <v>60</v>
      </c>
    </row>
    <row r="503" spans="1:9" x14ac:dyDescent="0.25">
      <c r="A503" s="583"/>
      <c r="B503" s="291">
        <v>3143</v>
      </c>
      <c r="C503" s="205" t="s">
        <v>325</v>
      </c>
      <c r="D503" s="206" t="s">
        <v>268</v>
      </c>
      <c r="E503" s="207">
        <f>0.0226*E499</f>
        <v>2.2599999999999999E-2</v>
      </c>
      <c r="F503" s="226">
        <v>4.1500000000000004</v>
      </c>
      <c r="G503" s="210">
        <f t="shared" si="67"/>
        <v>0.09</v>
      </c>
      <c r="H503" s="63">
        <f>F499-H501</f>
        <v>10.67</v>
      </c>
    </row>
    <row r="504" spans="1:9" x14ac:dyDescent="0.25">
      <c r="A504" s="583"/>
      <c r="B504" s="621">
        <v>6116</v>
      </c>
      <c r="C504" s="430" t="s">
        <v>322</v>
      </c>
      <c r="D504" s="431" t="s">
        <v>257</v>
      </c>
      <c r="E504" s="371">
        <f>0.112*E499</f>
        <v>0.112</v>
      </c>
      <c r="F504" s="464">
        <v>11.57</v>
      </c>
      <c r="G504" s="434">
        <f t="shared" si="67"/>
        <v>1.3</v>
      </c>
      <c r="H504" s="678"/>
    </row>
    <row r="505" spans="1:9" ht="12" thickBot="1" x14ac:dyDescent="0.3">
      <c r="A505" s="584"/>
      <c r="B505" s="293">
        <v>20083</v>
      </c>
      <c r="C505" s="216" t="s">
        <v>324</v>
      </c>
      <c r="D505" s="212" t="s">
        <v>268</v>
      </c>
      <c r="E505" s="213">
        <f>0.015*E499</f>
        <v>1.4999999999999999E-2</v>
      </c>
      <c r="F505" s="214">
        <v>35.64</v>
      </c>
      <c r="G505" s="215">
        <f t="shared" si="67"/>
        <v>0.53</v>
      </c>
      <c r="H505" s="678"/>
    </row>
    <row r="506" spans="1:9" ht="23.25" thickBot="1" x14ac:dyDescent="0.3">
      <c r="A506" s="582" t="s">
        <v>170</v>
      </c>
      <c r="B506" s="307">
        <v>72792</v>
      </c>
      <c r="C506" s="27" t="s">
        <v>462</v>
      </c>
      <c r="D506" s="28" t="s">
        <v>268</v>
      </c>
      <c r="E506" s="190">
        <v>1</v>
      </c>
      <c r="F506" s="49">
        <f>SUM(G507:G512)/E506</f>
        <v>28.33</v>
      </c>
      <c r="G506" s="94">
        <f>F506*E506</f>
        <v>28.33</v>
      </c>
      <c r="H506" s="678" t="s">
        <v>170</v>
      </c>
    </row>
    <row r="507" spans="1:9" ht="22.5" customHeight="1" thickBot="1" x14ac:dyDescent="0.3">
      <c r="A507" s="583"/>
      <c r="B507" s="204">
        <v>66</v>
      </c>
      <c r="C507" s="205" t="s">
        <v>465</v>
      </c>
      <c r="D507" s="206" t="s">
        <v>268</v>
      </c>
      <c r="E507" s="207">
        <f>1*E506</f>
        <v>1</v>
      </c>
      <c r="F507" s="208">
        <v>24</v>
      </c>
      <c r="G507" s="210">
        <f t="shared" ref="G507:G513" si="68">F507*E507</f>
        <v>24</v>
      </c>
      <c r="H507" s="64" t="s">
        <v>59</v>
      </c>
      <c r="I507" s="482">
        <v>28.33</v>
      </c>
    </row>
    <row r="508" spans="1:9" x14ac:dyDescent="0.25">
      <c r="A508" s="583"/>
      <c r="B508" s="204">
        <v>122</v>
      </c>
      <c r="C508" s="205" t="s">
        <v>323</v>
      </c>
      <c r="D508" s="206" t="s">
        <v>268</v>
      </c>
      <c r="E508" s="207">
        <f>0.0088*E506</f>
        <v>8.8000000000000005E-3</v>
      </c>
      <c r="F508" s="208">
        <v>30.09</v>
      </c>
      <c r="G508" s="210">
        <f t="shared" si="68"/>
        <v>0.26</v>
      </c>
      <c r="H508" s="277">
        <f>I507-H510</f>
        <v>3.59</v>
      </c>
    </row>
    <row r="509" spans="1:9" ht="22.5" x14ac:dyDescent="0.25">
      <c r="A509" s="583"/>
      <c r="B509" s="429">
        <v>88267</v>
      </c>
      <c r="C509" s="430" t="s">
        <v>755</v>
      </c>
      <c r="D509" s="739" t="s">
        <v>281</v>
      </c>
      <c r="E509" s="379">
        <f>0.1115*E506</f>
        <v>0.1115</v>
      </c>
      <c r="F509" s="464">
        <v>17.940000000000001</v>
      </c>
      <c r="G509" s="741">
        <f t="shared" si="68"/>
        <v>2</v>
      </c>
      <c r="H509" s="64" t="s">
        <v>60</v>
      </c>
    </row>
    <row r="510" spans="1:9" x14ac:dyDescent="0.25">
      <c r="A510" s="583"/>
      <c r="B510" s="204">
        <v>3143</v>
      </c>
      <c r="C510" s="205" t="s">
        <v>325</v>
      </c>
      <c r="D510" s="206" t="s">
        <v>268</v>
      </c>
      <c r="E510" s="207">
        <f>0.0188*E506</f>
        <v>1.8800000000000001E-2</v>
      </c>
      <c r="F510" s="226">
        <v>4.1500000000000004</v>
      </c>
      <c r="G510" s="210">
        <f t="shared" si="68"/>
        <v>0.08</v>
      </c>
      <c r="H510" s="277">
        <f>G507+G508+G510+G512</f>
        <v>24.74</v>
      </c>
    </row>
    <row r="511" spans="1:9" ht="22.5" x14ac:dyDescent="0.25">
      <c r="A511" s="583"/>
      <c r="B511" s="429">
        <v>88248</v>
      </c>
      <c r="C511" s="430" t="s">
        <v>756</v>
      </c>
      <c r="D511" s="739" t="s">
        <v>281</v>
      </c>
      <c r="E511" s="379">
        <f>0.112*E506</f>
        <v>0.112</v>
      </c>
      <c r="F511" s="464">
        <v>14.16</v>
      </c>
      <c r="G511" s="741">
        <f t="shared" si="68"/>
        <v>1.59</v>
      </c>
      <c r="H511" s="678"/>
    </row>
    <row r="512" spans="1:9" ht="12" thickBot="1" x14ac:dyDescent="0.3">
      <c r="A512" s="584"/>
      <c r="B512" s="211">
        <v>20083</v>
      </c>
      <c r="C512" s="216" t="s">
        <v>324</v>
      </c>
      <c r="D512" s="212" t="s">
        <v>268</v>
      </c>
      <c r="E512" s="213">
        <f>0.0111*E506</f>
        <v>1.11E-2</v>
      </c>
      <c r="F512" s="214">
        <v>35.64</v>
      </c>
      <c r="G512" s="215">
        <f t="shared" si="68"/>
        <v>0.4</v>
      </c>
      <c r="H512" s="678"/>
    </row>
    <row r="513" spans="1:10" ht="23.25" thickBot="1" x14ac:dyDescent="0.3">
      <c r="A513" s="582" t="s">
        <v>171</v>
      </c>
      <c r="B513" s="307">
        <v>72790</v>
      </c>
      <c r="C513" s="27" t="s">
        <v>463</v>
      </c>
      <c r="D513" s="28" t="s">
        <v>268</v>
      </c>
      <c r="E513" s="190">
        <v>1</v>
      </c>
      <c r="F513" s="49">
        <f>SUM(G514:G519)/E513</f>
        <v>12.98</v>
      </c>
      <c r="G513" s="94">
        <f t="shared" si="68"/>
        <v>12.98</v>
      </c>
      <c r="H513" s="678" t="s">
        <v>171</v>
      </c>
    </row>
    <row r="514" spans="1:10" ht="24" customHeight="1" thickBot="1" x14ac:dyDescent="0.3">
      <c r="A514" s="583"/>
      <c r="B514" s="204">
        <v>68</v>
      </c>
      <c r="C514" s="205" t="s">
        <v>466</v>
      </c>
      <c r="D514" s="206" t="s">
        <v>268</v>
      </c>
      <c r="E514" s="207">
        <f>1*E513</f>
        <v>1</v>
      </c>
      <c r="F514" s="208">
        <v>10.3</v>
      </c>
      <c r="G514" s="210">
        <f t="shared" ref="G514:G520" si="69">F514*E514</f>
        <v>10.3</v>
      </c>
      <c r="H514" s="64" t="s">
        <v>59</v>
      </c>
      <c r="I514" s="482">
        <v>12.98</v>
      </c>
    </row>
    <row r="515" spans="1:10" x14ac:dyDescent="0.25">
      <c r="A515" s="583"/>
      <c r="B515" s="204">
        <v>122</v>
      </c>
      <c r="C515" s="205" t="s">
        <v>323</v>
      </c>
      <c r="D515" s="206" t="s">
        <v>268</v>
      </c>
      <c r="E515" s="207">
        <f>0.0041*E513</f>
        <v>4.1000000000000003E-3</v>
      </c>
      <c r="F515" s="208">
        <v>30.09</v>
      </c>
      <c r="G515" s="210">
        <f t="shared" si="69"/>
        <v>0.12</v>
      </c>
      <c r="H515" s="277">
        <f>I514-H517</f>
        <v>2.31</v>
      </c>
    </row>
    <row r="516" spans="1:10" ht="22.5" x14ac:dyDescent="0.25">
      <c r="A516" s="583"/>
      <c r="B516" s="429">
        <v>88267</v>
      </c>
      <c r="C516" s="430" t="s">
        <v>755</v>
      </c>
      <c r="D516" s="739" t="s">
        <v>281</v>
      </c>
      <c r="E516" s="379">
        <f>0.072*E513</f>
        <v>7.1999999999999995E-2</v>
      </c>
      <c r="F516" s="464">
        <v>17.940000000000001</v>
      </c>
      <c r="G516" s="741">
        <f t="shared" si="69"/>
        <v>1.29</v>
      </c>
      <c r="H516" s="64" t="s">
        <v>60</v>
      </c>
    </row>
    <row r="517" spans="1:10" x14ac:dyDescent="0.25">
      <c r="A517" s="583"/>
      <c r="B517" s="204">
        <v>3143</v>
      </c>
      <c r="C517" s="205" t="s">
        <v>325</v>
      </c>
      <c r="D517" s="206" t="s">
        <v>268</v>
      </c>
      <c r="E517" s="207">
        <f>0.012*E513</f>
        <v>1.2E-2</v>
      </c>
      <c r="F517" s="226">
        <v>4.1500000000000004</v>
      </c>
      <c r="G517" s="210">
        <f t="shared" si="69"/>
        <v>0.05</v>
      </c>
      <c r="H517" s="277">
        <f>G514+G515+G517+G519</f>
        <v>10.67</v>
      </c>
    </row>
    <row r="518" spans="1:10" ht="22.5" x14ac:dyDescent="0.25">
      <c r="A518" s="583"/>
      <c r="B518" s="429">
        <v>88248</v>
      </c>
      <c r="C518" s="430" t="s">
        <v>756</v>
      </c>
      <c r="D518" s="739" t="s">
        <v>281</v>
      </c>
      <c r="E518" s="379">
        <f>0.072*E513</f>
        <v>7.1999999999999995E-2</v>
      </c>
      <c r="F518" s="464">
        <v>14.16</v>
      </c>
      <c r="G518" s="741">
        <f t="shared" si="69"/>
        <v>1.02</v>
      </c>
      <c r="H518" s="678"/>
    </row>
    <row r="519" spans="1:10" ht="12" thickBot="1" x14ac:dyDescent="0.3">
      <c r="A519" s="584"/>
      <c r="B519" s="211">
        <v>20083</v>
      </c>
      <c r="C519" s="216" t="s">
        <v>324</v>
      </c>
      <c r="D519" s="212" t="s">
        <v>268</v>
      </c>
      <c r="E519" s="213">
        <f>0.0055*E513</f>
        <v>5.4999999999999997E-3</v>
      </c>
      <c r="F519" s="214">
        <v>35.64</v>
      </c>
      <c r="G519" s="215">
        <f t="shared" si="69"/>
        <v>0.2</v>
      </c>
      <c r="H519" s="678"/>
    </row>
    <row r="520" spans="1:10" ht="23.25" thickBot="1" x14ac:dyDescent="0.3">
      <c r="A520" s="582" t="s">
        <v>172</v>
      </c>
      <c r="B520" s="307">
        <v>72784</v>
      </c>
      <c r="C520" s="27" t="s">
        <v>464</v>
      </c>
      <c r="D520" s="28" t="s">
        <v>268</v>
      </c>
      <c r="E520" s="190">
        <v>1</v>
      </c>
      <c r="F520" s="49">
        <f>SUM(G521:G526)/E520</f>
        <v>9.93</v>
      </c>
      <c r="G520" s="94">
        <f t="shared" si="69"/>
        <v>9.93</v>
      </c>
      <c r="H520" s="678" t="s">
        <v>172</v>
      </c>
    </row>
    <row r="521" spans="1:10" ht="23.25" customHeight="1" thickBot="1" x14ac:dyDescent="0.3">
      <c r="A521" s="583"/>
      <c r="B521" s="204">
        <v>96</v>
      </c>
      <c r="C521" s="205" t="s">
        <v>758</v>
      </c>
      <c r="D521" s="206" t="s">
        <v>268</v>
      </c>
      <c r="E521" s="207">
        <f>1*E520</f>
        <v>1</v>
      </c>
      <c r="F521" s="208">
        <v>7.35</v>
      </c>
      <c r="G521" s="210">
        <f t="shared" ref="G521:G526" si="70">F521*E521</f>
        <v>7.35</v>
      </c>
      <c r="H521" s="64" t="s">
        <v>59</v>
      </c>
      <c r="I521" s="482">
        <v>9.93</v>
      </c>
    </row>
    <row r="522" spans="1:10" x14ac:dyDescent="0.25">
      <c r="A522" s="583"/>
      <c r="B522" s="204">
        <v>122</v>
      </c>
      <c r="C522" s="205" t="s">
        <v>323</v>
      </c>
      <c r="D522" s="206" t="s">
        <v>268</v>
      </c>
      <c r="E522" s="207">
        <f>0.0029*E520</f>
        <v>2.8999999999999998E-3</v>
      </c>
      <c r="F522" s="208">
        <v>30.09</v>
      </c>
      <c r="G522" s="210">
        <f t="shared" si="70"/>
        <v>0.09</v>
      </c>
      <c r="H522" s="277">
        <f>I521-H524</f>
        <v>2.31</v>
      </c>
    </row>
    <row r="523" spans="1:10" ht="22.5" x14ac:dyDescent="0.25">
      <c r="A523" s="583"/>
      <c r="B523" s="429">
        <v>88267</v>
      </c>
      <c r="C523" s="430" t="s">
        <v>755</v>
      </c>
      <c r="D523" s="739" t="s">
        <v>281</v>
      </c>
      <c r="E523" s="379">
        <f>0.072*E520</f>
        <v>7.1999999999999995E-2</v>
      </c>
      <c r="F523" s="464">
        <v>17.940000000000001</v>
      </c>
      <c r="G523" s="741">
        <f t="shared" si="70"/>
        <v>1.29</v>
      </c>
      <c r="H523" s="64" t="s">
        <v>60</v>
      </c>
    </row>
    <row r="524" spans="1:10" x14ac:dyDescent="0.25">
      <c r="A524" s="583"/>
      <c r="B524" s="204">
        <v>3143</v>
      </c>
      <c r="C524" s="205" t="s">
        <v>325</v>
      </c>
      <c r="D524" s="206" t="s">
        <v>268</v>
      </c>
      <c r="E524" s="207">
        <f>0.0094*E520</f>
        <v>9.4000000000000004E-3</v>
      </c>
      <c r="F524" s="226">
        <v>4.1500000000000004</v>
      </c>
      <c r="G524" s="210">
        <f t="shared" si="70"/>
        <v>0.04</v>
      </c>
      <c r="H524" s="277">
        <f>G521+G522+G524+G526</f>
        <v>7.62</v>
      </c>
    </row>
    <row r="525" spans="1:10" ht="22.5" x14ac:dyDescent="0.25">
      <c r="A525" s="583"/>
      <c r="B525" s="429">
        <v>88248</v>
      </c>
      <c r="C525" s="430" t="s">
        <v>756</v>
      </c>
      <c r="D525" s="739" t="s">
        <v>281</v>
      </c>
      <c r="E525" s="379">
        <f>0.072*E520</f>
        <v>7.1999999999999995E-2</v>
      </c>
      <c r="F525" s="464">
        <v>14.16</v>
      </c>
      <c r="G525" s="741">
        <f t="shared" si="70"/>
        <v>1.02</v>
      </c>
      <c r="H525" s="678"/>
    </row>
    <row r="526" spans="1:10" ht="12" thickBot="1" x14ac:dyDescent="0.3">
      <c r="A526" s="584"/>
      <c r="B526" s="211">
        <v>20083</v>
      </c>
      <c r="C526" s="216" t="s">
        <v>324</v>
      </c>
      <c r="D526" s="212" t="s">
        <v>268</v>
      </c>
      <c r="E526" s="213">
        <f>0.004*E520</f>
        <v>4.0000000000000001E-3</v>
      </c>
      <c r="F526" s="214">
        <v>35.64</v>
      </c>
      <c r="G526" s="215">
        <f t="shared" si="70"/>
        <v>0.14000000000000001</v>
      </c>
      <c r="H526" s="678"/>
    </row>
    <row r="527" spans="1:10" ht="23.25" thickBot="1" x14ac:dyDescent="0.3">
      <c r="A527" s="582" t="s">
        <v>173</v>
      </c>
      <c r="B527" s="306">
        <v>73642</v>
      </c>
      <c r="C527" s="66" t="s">
        <v>248</v>
      </c>
      <c r="D527" s="67" t="s">
        <v>269</v>
      </c>
      <c r="E527" s="109">
        <v>1</v>
      </c>
      <c r="F527" s="30">
        <f>SUM(G528:G531)/E527</f>
        <v>8.94</v>
      </c>
      <c r="G527" s="45">
        <f t="shared" ref="G527:G531" si="71">F527*E527</f>
        <v>8.94</v>
      </c>
      <c r="H527" s="680" t="s">
        <v>173</v>
      </c>
      <c r="I527" s="156"/>
      <c r="J527" s="41"/>
    </row>
    <row r="528" spans="1:10" ht="23.25" thickBot="1" x14ac:dyDescent="0.3">
      <c r="A528" s="583"/>
      <c r="B528" s="429">
        <v>88267</v>
      </c>
      <c r="C528" s="430" t="s">
        <v>755</v>
      </c>
      <c r="D528" s="739" t="s">
        <v>281</v>
      </c>
      <c r="E528" s="379">
        <f>0.18*E527</f>
        <v>0.18</v>
      </c>
      <c r="F528" s="464">
        <v>17.940000000000001</v>
      </c>
      <c r="G528" s="741">
        <f t="shared" si="71"/>
        <v>3.23</v>
      </c>
      <c r="H528" s="132" t="s">
        <v>59</v>
      </c>
      <c r="I528" s="661">
        <v>8.94</v>
      </c>
      <c r="J528" s="41"/>
    </row>
    <row r="529" spans="1:10" x14ac:dyDescent="0.25">
      <c r="A529" s="583"/>
      <c r="B529" s="222">
        <v>3146</v>
      </c>
      <c r="C529" s="223" t="s">
        <v>326</v>
      </c>
      <c r="D529" s="224" t="s">
        <v>269</v>
      </c>
      <c r="E529" s="298">
        <f>0.031*E527</f>
        <v>3.1E-2</v>
      </c>
      <c r="F529" s="226">
        <v>1.8</v>
      </c>
      <c r="G529" s="299">
        <f t="shared" si="71"/>
        <v>0.06</v>
      </c>
      <c r="H529" s="304">
        <f>I528-H531</f>
        <v>5.78</v>
      </c>
      <c r="I529" s="164"/>
      <c r="J529" s="41"/>
    </row>
    <row r="530" spans="1:10" ht="22.5" x14ac:dyDescent="0.25">
      <c r="A530" s="583"/>
      <c r="B530" s="429">
        <v>88248</v>
      </c>
      <c r="C530" s="430" t="s">
        <v>756</v>
      </c>
      <c r="D530" s="739" t="s">
        <v>281</v>
      </c>
      <c r="E530" s="379">
        <f>0.18*E527</f>
        <v>0.18</v>
      </c>
      <c r="F530" s="464">
        <v>14.16</v>
      </c>
      <c r="G530" s="741">
        <f t="shared" si="71"/>
        <v>2.5499999999999998</v>
      </c>
      <c r="H530" s="133" t="s">
        <v>60</v>
      </c>
      <c r="I530" s="164"/>
      <c r="J530" s="41"/>
    </row>
    <row r="531" spans="1:10" ht="22.5" customHeight="1" thickBot="1" x14ac:dyDescent="0.3">
      <c r="A531" s="584"/>
      <c r="B531" s="278">
        <v>20147</v>
      </c>
      <c r="C531" s="279" t="s">
        <v>467</v>
      </c>
      <c r="D531" s="280" t="s">
        <v>269</v>
      </c>
      <c r="E531" s="300">
        <f>1*E527</f>
        <v>1</v>
      </c>
      <c r="F531" s="282">
        <v>3.1</v>
      </c>
      <c r="G531" s="301">
        <f t="shared" si="71"/>
        <v>3.1</v>
      </c>
      <c r="H531" s="303">
        <f>G529+G531</f>
        <v>3.16</v>
      </c>
      <c r="I531" s="164"/>
      <c r="J531" s="41"/>
    </row>
    <row r="532" spans="1:10" ht="22.5" customHeight="1" thickBot="1" x14ac:dyDescent="0.3">
      <c r="A532" s="582" t="s">
        <v>174</v>
      </c>
      <c r="B532" s="606">
        <v>73639</v>
      </c>
      <c r="C532" s="191" t="s">
        <v>468</v>
      </c>
      <c r="D532" s="67" t="s">
        <v>269</v>
      </c>
      <c r="E532" s="109">
        <v>1</v>
      </c>
      <c r="F532" s="30">
        <f>SUM(G533:G536)/E532</f>
        <v>9.5299999999999994</v>
      </c>
      <c r="G532" s="45">
        <f>F532*E532</f>
        <v>9.5299999999999994</v>
      </c>
      <c r="H532" s="680" t="s">
        <v>174</v>
      </c>
      <c r="I532" s="156"/>
      <c r="J532" s="41"/>
    </row>
    <row r="533" spans="1:10" ht="24.75" customHeight="1" thickBot="1" x14ac:dyDescent="0.3">
      <c r="A533" s="583"/>
      <c r="B533" s="621">
        <v>88267</v>
      </c>
      <c r="C533" s="430" t="s">
        <v>755</v>
      </c>
      <c r="D533" s="739" t="s">
        <v>281</v>
      </c>
      <c r="E533" s="379">
        <f>0.1805*E532</f>
        <v>0.18049999999999999</v>
      </c>
      <c r="F533" s="464">
        <v>17.940000000000001</v>
      </c>
      <c r="G533" s="741">
        <f t="shared" ref="G533" si="72">F533*E533</f>
        <v>3.24</v>
      </c>
      <c r="H533" s="132" t="s">
        <v>59</v>
      </c>
      <c r="I533" s="661">
        <v>9.5299999999999994</v>
      </c>
      <c r="J533" s="41"/>
    </row>
    <row r="534" spans="1:10" ht="14.1" customHeight="1" x14ac:dyDescent="0.25">
      <c r="A534" s="583"/>
      <c r="B534" s="607">
        <v>3146</v>
      </c>
      <c r="C534" s="223" t="s">
        <v>326</v>
      </c>
      <c r="D534" s="224" t="s">
        <v>269</v>
      </c>
      <c r="E534" s="298">
        <f>0.035*E532</f>
        <v>3.5000000000000003E-2</v>
      </c>
      <c r="F534" s="226">
        <v>1.8</v>
      </c>
      <c r="G534" s="299">
        <f>F534*E534</f>
        <v>0.06</v>
      </c>
      <c r="H534" s="304">
        <f>I533-H536</f>
        <v>5.79</v>
      </c>
      <c r="I534" s="164"/>
      <c r="J534" s="41"/>
    </row>
    <row r="535" spans="1:10" ht="25.5" customHeight="1" x14ac:dyDescent="0.25">
      <c r="A535" s="583"/>
      <c r="B535" s="621">
        <v>88248</v>
      </c>
      <c r="C535" s="430" t="s">
        <v>756</v>
      </c>
      <c r="D535" s="739" t="s">
        <v>281</v>
      </c>
      <c r="E535" s="379">
        <f>0.18*E532</f>
        <v>0.18</v>
      </c>
      <c r="F535" s="464">
        <v>14.16</v>
      </c>
      <c r="G535" s="741">
        <f t="shared" ref="G535" si="73">F535*E535</f>
        <v>2.5499999999999998</v>
      </c>
      <c r="H535" s="133" t="s">
        <v>60</v>
      </c>
      <c r="I535" s="164"/>
      <c r="J535" s="41"/>
    </row>
    <row r="536" spans="1:10" ht="22.5" customHeight="1" thickBot="1" x14ac:dyDescent="0.3">
      <c r="A536" s="584"/>
      <c r="B536" s="608">
        <v>20147</v>
      </c>
      <c r="C536" s="279" t="s">
        <v>469</v>
      </c>
      <c r="D536" s="280" t="s">
        <v>269</v>
      </c>
      <c r="E536" s="300">
        <f>1*E532</f>
        <v>1</v>
      </c>
      <c r="F536" s="282">
        <v>3.68</v>
      </c>
      <c r="G536" s="301">
        <f>F536*E536</f>
        <v>3.68</v>
      </c>
      <c r="H536" s="303">
        <f>G534+G536</f>
        <v>3.74</v>
      </c>
      <c r="I536" s="164"/>
      <c r="J536" s="41"/>
    </row>
    <row r="537" spans="1:10" ht="22.5" customHeight="1" thickBot="1" x14ac:dyDescent="0.3">
      <c r="A537" s="582" t="s">
        <v>175</v>
      </c>
      <c r="B537" s="305">
        <v>72573</v>
      </c>
      <c r="C537" s="42" t="s">
        <v>247</v>
      </c>
      <c r="D537" s="43" t="s">
        <v>268</v>
      </c>
      <c r="E537" s="110">
        <v>1</v>
      </c>
      <c r="F537" s="30">
        <f>SUM(G538:G542)/E537</f>
        <v>6.32</v>
      </c>
      <c r="G537" s="45">
        <f t="shared" ref="G537:G600" si="74">F537*E537</f>
        <v>6.32</v>
      </c>
      <c r="H537" s="677" t="s">
        <v>175</v>
      </c>
      <c r="I537" s="189"/>
      <c r="J537" s="41"/>
    </row>
    <row r="538" spans="1:10" ht="12" customHeight="1" thickBot="1" x14ac:dyDescent="0.3">
      <c r="A538" s="583"/>
      <c r="B538" s="204">
        <v>122</v>
      </c>
      <c r="C538" s="205" t="s">
        <v>323</v>
      </c>
      <c r="D538" s="206" t="s">
        <v>268</v>
      </c>
      <c r="E538" s="241">
        <f>0.0071*E537</f>
        <v>7.1000000000000004E-3</v>
      </c>
      <c r="F538" s="208">
        <v>30.09</v>
      </c>
      <c r="G538" s="210">
        <f t="shared" si="74"/>
        <v>0.21</v>
      </c>
      <c r="H538" s="58" t="s">
        <v>59</v>
      </c>
      <c r="I538" s="482">
        <v>6.32</v>
      </c>
      <c r="J538" s="41"/>
    </row>
    <row r="539" spans="1:10" ht="18" customHeight="1" x14ac:dyDescent="0.25">
      <c r="A539" s="583"/>
      <c r="B539" s="429">
        <v>88267</v>
      </c>
      <c r="C539" s="430" t="s">
        <v>755</v>
      </c>
      <c r="D539" s="431" t="s">
        <v>257</v>
      </c>
      <c r="E539" s="432">
        <f>0.1795*E537</f>
        <v>0.17949999999999999</v>
      </c>
      <c r="F539" s="464">
        <v>17.940000000000001</v>
      </c>
      <c r="G539" s="434">
        <f>F539*E539</f>
        <v>3.22</v>
      </c>
      <c r="H539" s="220">
        <f>I538-H541</f>
        <v>5.66</v>
      </c>
      <c r="J539" s="41"/>
    </row>
    <row r="540" spans="1:10" ht="12" customHeight="1" x14ac:dyDescent="0.25">
      <c r="A540" s="583"/>
      <c r="B540" s="429">
        <v>88316</v>
      </c>
      <c r="C540" s="430" t="s">
        <v>690</v>
      </c>
      <c r="D540" s="431" t="s">
        <v>257</v>
      </c>
      <c r="E540" s="432">
        <f>0.18*E537</f>
        <v>0.18</v>
      </c>
      <c r="F540" s="464">
        <v>13.56</v>
      </c>
      <c r="G540" s="434">
        <f>F540*E540</f>
        <v>2.44</v>
      </c>
      <c r="H540" s="60" t="s">
        <v>60</v>
      </c>
      <c r="J540" s="41"/>
    </row>
    <row r="541" spans="1:10" ht="12" customHeight="1" thickBot="1" x14ac:dyDescent="0.3">
      <c r="A541" s="583"/>
      <c r="B541" s="204">
        <v>20083</v>
      </c>
      <c r="C541" s="205" t="s">
        <v>324</v>
      </c>
      <c r="D541" s="206" t="s">
        <v>268</v>
      </c>
      <c r="E541" s="241">
        <f>0.0025*E537</f>
        <v>2.5000000000000001E-3</v>
      </c>
      <c r="F541" s="208">
        <v>35.64</v>
      </c>
      <c r="G541" s="210">
        <f t="shared" si="74"/>
        <v>0.09</v>
      </c>
      <c r="H541" s="221">
        <f>G538+G541+G542</f>
        <v>0.66</v>
      </c>
      <c r="J541" s="41"/>
    </row>
    <row r="542" spans="1:10" ht="12" customHeight="1" thickBot="1" x14ac:dyDescent="0.3">
      <c r="A542" s="584"/>
      <c r="B542" s="211">
        <v>3529</v>
      </c>
      <c r="C542" s="216" t="s">
        <v>71</v>
      </c>
      <c r="D542" s="212" t="s">
        <v>268</v>
      </c>
      <c r="E542" s="271">
        <f>1*E537</f>
        <v>1</v>
      </c>
      <c r="F542" s="214">
        <v>0.36</v>
      </c>
      <c r="G542" s="215">
        <f t="shared" si="74"/>
        <v>0.36</v>
      </c>
      <c r="H542" s="678"/>
      <c r="J542" s="41"/>
    </row>
    <row r="543" spans="1:10" ht="24" customHeight="1" thickBot="1" x14ac:dyDescent="0.3">
      <c r="A543" s="582" t="s">
        <v>176</v>
      </c>
      <c r="B543" s="605">
        <v>72575</v>
      </c>
      <c r="C543" s="169" t="s">
        <v>470</v>
      </c>
      <c r="D543" s="43" t="s">
        <v>268</v>
      </c>
      <c r="E543" s="110">
        <v>1</v>
      </c>
      <c r="F543" s="30">
        <f>SUM(G544:G548)/E543</f>
        <v>6.99</v>
      </c>
      <c r="G543" s="45">
        <f t="shared" si="74"/>
        <v>6.99</v>
      </c>
      <c r="H543" s="677" t="s">
        <v>176</v>
      </c>
      <c r="I543" s="189"/>
      <c r="J543" s="41"/>
    </row>
    <row r="544" spans="1:10" ht="12" customHeight="1" thickBot="1" x14ac:dyDescent="0.3">
      <c r="A544" s="583"/>
      <c r="B544" s="291">
        <v>122</v>
      </c>
      <c r="C544" s="205" t="s">
        <v>323</v>
      </c>
      <c r="D544" s="206" t="s">
        <v>268</v>
      </c>
      <c r="E544" s="241">
        <f>0.0094*E543</f>
        <v>9.4000000000000004E-3</v>
      </c>
      <c r="F544" s="208">
        <v>30.09</v>
      </c>
      <c r="G544" s="210">
        <f t="shared" si="74"/>
        <v>0.28000000000000003</v>
      </c>
      <c r="H544" s="58" t="s">
        <v>59</v>
      </c>
      <c r="I544" s="482">
        <v>6.99</v>
      </c>
      <c r="J544" s="41"/>
    </row>
    <row r="545" spans="1:10" ht="19.5" customHeight="1" x14ac:dyDescent="0.25">
      <c r="A545" s="583"/>
      <c r="B545" s="621">
        <v>88267</v>
      </c>
      <c r="C545" s="430" t="s">
        <v>755</v>
      </c>
      <c r="D545" s="431" t="s">
        <v>257</v>
      </c>
      <c r="E545" s="432">
        <f>0.1795*E543</f>
        <v>0.17949999999999999</v>
      </c>
      <c r="F545" s="464">
        <v>17.940000000000001</v>
      </c>
      <c r="G545" s="434">
        <f>F545*E545</f>
        <v>3.22</v>
      </c>
      <c r="H545" s="220">
        <f>I544-H547</f>
        <v>5.66</v>
      </c>
      <c r="J545" s="41"/>
    </row>
    <row r="546" spans="1:10" ht="12" customHeight="1" x14ac:dyDescent="0.25">
      <c r="A546" s="583"/>
      <c r="B546" s="621">
        <v>88316</v>
      </c>
      <c r="C546" s="430" t="s">
        <v>690</v>
      </c>
      <c r="D546" s="431" t="s">
        <v>257</v>
      </c>
      <c r="E546" s="432">
        <f>0.18*E543</f>
        <v>0.18</v>
      </c>
      <c r="F546" s="464">
        <v>13.56</v>
      </c>
      <c r="G546" s="434">
        <f>F546*E546</f>
        <v>2.44</v>
      </c>
      <c r="H546" s="60" t="s">
        <v>60</v>
      </c>
      <c r="J546" s="41"/>
    </row>
    <row r="547" spans="1:10" ht="12" customHeight="1" thickBot="1" x14ac:dyDescent="0.3">
      <c r="A547" s="583"/>
      <c r="B547" s="291">
        <v>20083</v>
      </c>
      <c r="C547" s="205" t="s">
        <v>324</v>
      </c>
      <c r="D547" s="206" t="s">
        <v>268</v>
      </c>
      <c r="E547" s="241">
        <f>0.003*E543</f>
        <v>3.0000000000000001E-3</v>
      </c>
      <c r="F547" s="208">
        <v>35.64</v>
      </c>
      <c r="G547" s="210">
        <f t="shared" si="74"/>
        <v>0.11</v>
      </c>
      <c r="H547" s="221">
        <f>G544+G547+G548</f>
        <v>1.33</v>
      </c>
      <c r="J547" s="41"/>
    </row>
    <row r="548" spans="1:10" ht="12" customHeight="1" thickBot="1" x14ac:dyDescent="0.3">
      <c r="A548" s="584"/>
      <c r="B548" s="293">
        <v>3536</v>
      </c>
      <c r="C548" s="216" t="s">
        <v>760</v>
      </c>
      <c r="D548" s="212" t="s">
        <v>268</v>
      </c>
      <c r="E548" s="271">
        <f>1*E543</f>
        <v>1</v>
      </c>
      <c r="F548" s="214">
        <v>0.94</v>
      </c>
      <c r="G548" s="215">
        <f t="shared" si="74"/>
        <v>0.94</v>
      </c>
      <c r="H548" s="678"/>
      <c r="J548" s="41"/>
    </row>
    <row r="549" spans="1:10" ht="24" customHeight="1" thickBot="1" x14ac:dyDescent="0.3">
      <c r="A549" s="582" t="s">
        <v>177</v>
      </c>
      <c r="B549" s="605">
        <v>72579</v>
      </c>
      <c r="C549" s="169" t="s">
        <v>471</v>
      </c>
      <c r="D549" s="43" t="s">
        <v>268</v>
      </c>
      <c r="E549" s="110">
        <v>1</v>
      </c>
      <c r="F549" s="30">
        <f>SUM(G550:G554)/E549</f>
        <v>10.88</v>
      </c>
      <c r="G549" s="45">
        <f t="shared" si="74"/>
        <v>10.88</v>
      </c>
      <c r="H549" s="677" t="s">
        <v>177</v>
      </c>
      <c r="I549" s="189"/>
      <c r="J549" s="41"/>
    </row>
    <row r="550" spans="1:10" ht="12" customHeight="1" thickBot="1" x14ac:dyDescent="0.3">
      <c r="A550" s="583"/>
      <c r="B550" s="291">
        <v>122</v>
      </c>
      <c r="C550" s="205" t="s">
        <v>323</v>
      </c>
      <c r="D550" s="206" t="s">
        <v>268</v>
      </c>
      <c r="E550" s="241">
        <f>0.0118*E549</f>
        <v>1.18E-2</v>
      </c>
      <c r="F550" s="208">
        <v>30.09</v>
      </c>
      <c r="G550" s="210">
        <f t="shared" si="74"/>
        <v>0.36</v>
      </c>
      <c r="H550" s="58" t="s">
        <v>59</v>
      </c>
      <c r="I550" s="482">
        <v>10.88</v>
      </c>
      <c r="J550" s="41"/>
    </row>
    <row r="551" spans="1:10" ht="22.5" customHeight="1" x14ac:dyDescent="0.25">
      <c r="A551" s="583"/>
      <c r="B551" s="621">
        <v>88267</v>
      </c>
      <c r="C551" s="430" t="s">
        <v>755</v>
      </c>
      <c r="D551" s="431" t="s">
        <v>257</v>
      </c>
      <c r="E551" s="432">
        <f>0.249*E549</f>
        <v>0.249</v>
      </c>
      <c r="F551" s="464">
        <v>17.940000000000001</v>
      </c>
      <c r="G551" s="434">
        <f>F551*E551</f>
        <v>4.47</v>
      </c>
      <c r="H551" s="220">
        <f>I550-H553</f>
        <v>7.86</v>
      </c>
      <c r="J551" s="41"/>
    </row>
    <row r="552" spans="1:10" ht="12" customHeight="1" x14ac:dyDescent="0.25">
      <c r="A552" s="583"/>
      <c r="B552" s="621">
        <v>88316</v>
      </c>
      <c r="C552" s="430" t="s">
        <v>690</v>
      </c>
      <c r="D552" s="431" t="s">
        <v>257</v>
      </c>
      <c r="E552" s="432">
        <f>0.25*E549</f>
        <v>0.25</v>
      </c>
      <c r="F552" s="464">
        <v>13.56</v>
      </c>
      <c r="G552" s="434">
        <f>F552*E552</f>
        <v>3.39</v>
      </c>
      <c r="H552" s="60" t="s">
        <v>60</v>
      </c>
      <c r="J552" s="41"/>
    </row>
    <row r="553" spans="1:10" ht="12" customHeight="1" thickBot="1" x14ac:dyDescent="0.3">
      <c r="A553" s="583"/>
      <c r="B553" s="291">
        <v>20083</v>
      </c>
      <c r="C553" s="205" t="s">
        <v>324</v>
      </c>
      <c r="D553" s="206" t="s">
        <v>268</v>
      </c>
      <c r="E553" s="241">
        <f>0.004*E549</f>
        <v>4.0000000000000001E-3</v>
      </c>
      <c r="F553" s="208">
        <v>35.64</v>
      </c>
      <c r="G553" s="210">
        <f t="shared" si="74"/>
        <v>0.14000000000000001</v>
      </c>
      <c r="H553" s="221">
        <f>G550+G553+G554</f>
        <v>3.02</v>
      </c>
      <c r="J553" s="41"/>
    </row>
    <row r="554" spans="1:10" ht="12" customHeight="1" thickBot="1" x14ac:dyDescent="0.3">
      <c r="A554" s="584"/>
      <c r="B554" s="293">
        <v>3540</v>
      </c>
      <c r="C554" s="216" t="s">
        <v>759</v>
      </c>
      <c r="D554" s="212" t="s">
        <v>268</v>
      </c>
      <c r="E554" s="271">
        <f>1*E549</f>
        <v>1</v>
      </c>
      <c r="F554" s="214">
        <v>2.52</v>
      </c>
      <c r="G554" s="215">
        <f t="shared" si="74"/>
        <v>2.52</v>
      </c>
      <c r="H554" s="678"/>
      <c r="J554" s="41"/>
    </row>
    <row r="555" spans="1:10" ht="24.75" customHeight="1" thickBot="1" x14ac:dyDescent="0.3">
      <c r="A555" s="582" t="s">
        <v>178</v>
      </c>
      <c r="B555" s="305">
        <v>72602</v>
      </c>
      <c r="C555" s="42" t="s">
        <v>72</v>
      </c>
      <c r="D555" s="43" t="s">
        <v>268</v>
      </c>
      <c r="E555" s="192">
        <v>1</v>
      </c>
      <c r="F555" s="30">
        <f>SUM(G556:G560)/E555</f>
        <v>8.01</v>
      </c>
      <c r="G555" s="45">
        <f t="shared" si="74"/>
        <v>8.01</v>
      </c>
      <c r="H555" s="677" t="s">
        <v>178</v>
      </c>
      <c r="I555" s="189"/>
      <c r="J555" s="41"/>
    </row>
    <row r="556" spans="1:10" ht="12" customHeight="1" thickBot="1" x14ac:dyDescent="0.3">
      <c r="A556" s="583"/>
      <c r="B556" s="204">
        <v>122</v>
      </c>
      <c r="C556" s="205" t="s">
        <v>323</v>
      </c>
      <c r="D556" s="206" t="s">
        <v>268</v>
      </c>
      <c r="E556" s="241">
        <f>0.0082*E555</f>
        <v>8.2000000000000007E-3</v>
      </c>
      <c r="F556" s="208">
        <v>30.09</v>
      </c>
      <c r="G556" s="210">
        <f t="shared" si="74"/>
        <v>0.25</v>
      </c>
      <c r="H556" s="58" t="s">
        <v>59</v>
      </c>
      <c r="I556" s="482">
        <v>8.01</v>
      </c>
      <c r="J556" s="41"/>
    </row>
    <row r="557" spans="1:10" ht="21.75" customHeight="1" x14ac:dyDescent="0.25">
      <c r="A557" s="583"/>
      <c r="B557" s="429">
        <v>88267</v>
      </c>
      <c r="C557" s="430" t="s">
        <v>755</v>
      </c>
      <c r="D557" s="431" t="s">
        <v>257</v>
      </c>
      <c r="E557" s="432">
        <f>0.1995*E555</f>
        <v>0.19950000000000001</v>
      </c>
      <c r="F557" s="464">
        <v>17.940000000000001</v>
      </c>
      <c r="G557" s="434">
        <f>F557*E557</f>
        <v>3.58</v>
      </c>
      <c r="H557" s="220">
        <f>I556-H559</f>
        <v>6.29</v>
      </c>
      <c r="J557" s="41"/>
    </row>
    <row r="558" spans="1:10" ht="12" customHeight="1" x14ac:dyDescent="0.25">
      <c r="A558" s="583"/>
      <c r="B558" s="429">
        <v>88316</v>
      </c>
      <c r="C558" s="430" t="s">
        <v>690</v>
      </c>
      <c r="D558" s="431" t="s">
        <v>257</v>
      </c>
      <c r="E558" s="432">
        <f>0.2*E555</f>
        <v>0.2</v>
      </c>
      <c r="F558" s="464">
        <v>13.56</v>
      </c>
      <c r="G558" s="434">
        <f>F558*E558</f>
        <v>2.71</v>
      </c>
      <c r="H558" s="60" t="s">
        <v>60</v>
      </c>
      <c r="J558" s="41"/>
    </row>
    <row r="559" spans="1:10" ht="12" customHeight="1" thickBot="1" x14ac:dyDescent="0.3">
      <c r="A559" s="583"/>
      <c r="B559" s="204">
        <v>20083</v>
      </c>
      <c r="C559" s="205" t="s">
        <v>324</v>
      </c>
      <c r="D559" s="206" t="s">
        <v>268</v>
      </c>
      <c r="E559" s="241">
        <f>0.0029*E555</f>
        <v>2.8999999999999998E-3</v>
      </c>
      <c r="F559" s="208">
        <v>35.64</v>
      </c>
      <c r="G559" s="210">
        <f t="shared" si="74"/>
        <v>0.1</v>
      </c>
      <c r="H559" s="221">
        <f>G556+G559+G560</f>
        <v>1.72</v>
      </c>
      <c r="J559" s="41"/>
    </row>
    <row r="560" spans="1:10" ht="22.5" customHeight="1" thickBot="1" x14ac:dyDescent="0.3">
      <c r="A560" s="584"/>
      <c r="B560" s="211">
        <v>3538</v>
      </c>
      <c r="C560" s="216" t="s">
        <v>762</v>
      </c>
      <c r="D560" s="212" t="s">
        <v>268</v>
      </c>
      <c r="E560" s="271">
        <f>1*E555</f>
        <v>1</v>
      </c>
      <c r="F560" s="214">
        <v>1.37</v>
      </c>
      <c r="G560" s="215">
        <f t="shared" si="74"/>
        <v>1.37</v>
      </c>
      <c r="H560" s="678"/>
      <c r="J560" s="41"/>
    </row>
    <row r="561" spans="1:10" ht="16.5" customHeight="1" thickBot="1" x14ac:dyDescent="0.3">
      <c r="A561" s="582" t="s">
        <v>179</v>
      </c>
      <c r="B561" s="306">
        <v>72574</v>
      </c>
      <c r="C561" s="66" t="s">
        <v>472</v>
      </c>
      <c r="D561" s="67" t="s">
        <v>269</v>
      </c>
      <c r="E561" s="111">
        <v>1</v>
      </c>
      <c r="F561" s="30">
        <f>SUM(G562:G566)/E561</f>
        <v>6.72</v>
      </c>
      <c r="G561" s="45">
        <f t="shared" si="74"/>
        <v>6.72</v>
      </c>
      <c r="H561" s="677" t="s">
        <v>179</v>
      </c>
      <c r="J561" s="41"/>
    </row>
    <row r="562" spans="1:10" ht="12" customHeight="1" thickBot="1" x14ac:dyDescent="0.3">
      <c r="A562" s="583"/>
      <c r="B562" s="204">
        <v>122</v>
      </c>
      <c r="C562" s="205" t="s">
        <v>323</v>
      </c>
      <c r="D562" s="206" t="s">
        <v>268</v>
      </c>
      <c r="E562" s="241">
        <f>0.0071*E561</f>
        <v>7.1000000000000004E-3</v>
      </c>
      <c r="F562" s="208">
        <v>30.09</v>
      </c>
      <c r="G562" s="210">
        <f t="shared" si="74"/>
        <v>0.21</v>
      </c>
      <c r="H562" s="58" t="s">
        <v>59</v>
      </c>
      <c r="I562" s="482">
        <v>6.72</v>
      </c>
      <c r="J562" s="41"/>
    </row>
    <row r="563" spans="1:10" ht="21.75" customHeight="1" x14ac:dyDescent="0.25">
      <c r="A563" s="583"/>
      <c r="B563" s="429">
        <v>88267</v>
      </c>
      <c r="C563" s="430" t="s">
        <v>755</v>
      </c>
      <c r="D563" s="431" t="s">
        <v>257</v>
      </c>
      <c r="E563" s="432">
        <f>0.1795*E561</f>
        <v>0.17949999999999999</v>
      </c>
      <c r="F563" s="464">
        <v>17.940000000000001</v>
      </c>
      <c r="G563" s="434">
        <f>F563*E563</f>
        <v>3.22</v>
      </c>
      <c r="H563" s="220">
        <f>I562-H565</f>
        <v>5.66</v>
      </c>
      <c r="J563" s="41"/>
    </row>
    <row r="564" spans="1:10" ht="12" customHeight="1" x14ac:dyDescent="0.25">
      <c r="A564" s="583"/>
      <c r="B564" s="429">
        <v>88316</v>
      </c>
      <c r="C564" s="430" t="s">
        <v>690</v>
      </c>
      <c r="D564" s="431" t="s">
        <v>257</v>
      </c>
      <c r="E564" s="432">
        <f>0.18*E561</f>
        <v>0.18</v>
      </c>
      <c r="F564" s="464">
        <v>13.56</v>
      </c>
      <c r="G564" s="434">
        <f>F564*E564</f>
        <v>2.44</v>
      </c>
      <c r="H564" s="60" t="s">
        <v>60</v>
      </c>
      <c r="J564" s="41"/>
    </row>
    <row r="565" spans="1:10" ht="12" customHeight="1" thickBot="1" x14ac:dyDescent="0.3">
      <c r="A565" s="583"/>
      <c r="B565" s="204">
        <v>20083</v>
      </c>
      <c r="C565" s="205" t="s">
        <v>324</v>
      </c>
      <c r="D565" s="206" t="s">
        <v>268</v>
      </c>
      <c r="E565" s="241">
        <f>0.0025*E561</f>
        <v>2.5000000000000001E-3</v>
      </c>
      <c r="F565" s="208">
        <v>35.64</v>
      </c>
      <c r="G565" s="210">
        <f t="shared" si="74"/>
        <v>0.09</v>
      </c>
      <c r="H565" s="221">
        <f>G562+G565+G566</f>
        <v>1.06</v>
      </c>
      <c r="J565" s="41"/>
    </row>
    <row r="566" spans="1:10" ht="12" customHeight="1" thickBot="1" x14ac:dyDescent="0.3">
      <c r="A566" s="584"/>
      <c r="B566" s="211">
        <v>1927</v>
      </c>
      <c r="C566" s="216" t="s">
        <v>761</v>
      </c>
      <c r="D566" s="212" t="s">
        <v>268</v>
      </c>
      <c r="E566" s="271">
        <f>1*E561</f>
        <v>1</v>
      </c>
      <c r="F566" s="214">
        <v>0.76</v>
      </c>
      <c r="G566" s="215">
        <f t="shared" si="74"/>
        <v>0.76</v>
      </c>
      <c r="H566" s="678"/>
      <c r="J566" s="41"/>
    </row>
    <row r="567" spans="1:10" ht="12" customHeight="1" thickBot="1" x14ac:dyDescent="0.3">
      <c r="A567" s="582" t="s">
        <v>180</v>
      </c>
      <c r="B567" s="306">
        <v>72576</v>
      </c>
      <c r="C567" s="66" t="s">
        <v>69</v>
      </c>
      <c r="D567" s="67" t="s">
        <v>269</v>
      </c>
      <c r="E567" s="108">
        <v>1</v>
      </c>
      <c r="F567" s="30">
        <f>SUM(G568:G572)/E567</f>
        <v>7.89</v>
      </c>
      <c r="G567" s="45">
        <f t="shared" si="74"/>
        <v>7.89</v>
      </c>
      <c r="H567" s="677" t="s">
        <v>180</v>
      </c>
      <c r="J567" s="41"/>
    </row>
    <row r="568" spans="1:10" ht="12" customHeight="1" thickBot="1" x14ac:dyDescent="0.3">
      <c r="A568" s="583"/>
      <c r="B568" s="204">
        <v>122</v>
      </c>
      <c r="C568" s="205" t="s">
        <v>323</v>
      </c>
      <c r="D568" s="206" t="s">
        <v>268</v>
      </c>
      <c r="E568" s="241">
        <f>0.0094*E567</f>
        <v>9.4000000000000004E-3</v>
      </c>
      <c r="F568" s="208">
        <v>30.09</v>
      </c>
      <c r="G568" s="210">
        <f t="shared" si="74"/>
        <v>0.28000000000000003</v>
      </c>
      <c r="H568" s="58" t="s">
        <v>59</v>
      </c>
      <c r="I568" s="482">
        <v>7.89</v>
      </c>
      <c r="J568" s="41"/>
    </row>
    <row r="569" spans="1:10" ht="23.25" customHeight="1" x14ac:dyDescent="0.25">
      <c r="A569" s="583"/>
      <c r="B569" s="429">
        <v>88267</v>
      </c>
      <c r="C569" s="430" t="s">
        <v>755</v>
      </c>
      <c r="D569" s="431" t="s">
        <v>257</v>
      </c>
      <c r="E569" s="432">
        <f>0.1795*E567</f>
        <v>0.17949999999999999</v>
      </c>
      <c r="F569" s="464">
        <v>17.940000000000001</v>
      </c>
      <c r="G569" s="434">
        <f>F569*E569</f>
        <v>3.22</v>
      </c>
      <c r="H569" s="220">
        <f>I568-H571</f>
        <v>5.66</v>
      </c>
      <c r="J569" s="41"/>
    </row>
    <row r="570" spans="1:10" ht="12" customHeight="1" x14ac:dyDescent="0.25">
      <c r="A570" s="583"/>
      <c r="B570" s="429">
        <v>88316</v>
      </c>
      <c r="C570" s="430" t="s">
        <v>690</v>
      </c>
      <c r="D570" s="431" t="s">
        <v>257</v>
      </c>
      <c r="E570" s="432">
        <f>0.18*E567</f>
        <v>0.18</v>
      </c>
      <c r="F570" s="464">
        <v>13.56</v>
      </c>
      <c r="G570" s="434">
        <f>F570*E570</f>
        <v>2.44</v>
      </c>
      <c r="H570" s="60" t="s">
        <v>60</v>
      </c>
      <c r="J570" s="41"/>
    </row>
    <row r="571" spans="1:10" ht="12" customHeight="1" thickBot="1" x14ac:dyDescent="0.3">
      <c r="A571" s="583"/>
      <c r="B571" s="204">
        <v>20083</v>
      </c>
      <c r="C571" s="205" t="s">
        <v>324</v>
      </c>
      <c r="D571" s="206" t="s">
        <v>268</v>
      </c>
      <c r="E571" s="241">
        <f>0.003*E567</f>
        <v>3.0000000000000001E-3</v>
      </c>
      <c r="F571" s="208">
        <v>35.64</v>
      </c>
      <c r="G571" s="210">
        <f t="shared" si="74"/>
        <v>0.11</v>
      </c>
      <c r="H571" s="221">
        <f>G568+G571+G572</f>
        <v>2.23</v>
      </c>
      <c r="J571" s="41"/>
    </row>
    <row r="572" spans="1:10" ht="12" customHeight="1" thickBot="1" x14ac:dyDescent="0.3">
      <c r="A572" s="584"/>
      <c r="B572" s="211">
        <v>1923</v>
      </c>
      <c r="C572" s="216" t="s">
        <v>70</v>
      </c>
      <c r="D572" s="212" t="s">
        <v>268</v>
      </c>
      <c r="E572" s="271">
        <f>1*E567</f>
        <v>1</v>
      </c>
      <c r="F572" s="214">
        <v>1.84</v>
      </c>
      <c r="G572" s="215">
        <f t="shared" si="74"/>
        <v>1.84</v>
      </c>
      <c r="H572" s="678"/>
      <c r="J572" s="41"/>
    </row>
    <row r="573" spans="1:10" ht="21.75" customHeight="1" thickBot="1" x14ac:dyDescent="0.3">
      <c r="A573" s="582" t="s">
        <v>181</v>
      </c>
      <c r="B573" s="305">
        <v>72703</v>
      </c>
      <c r="C573" s="42" t="s">
        <v>474</v>
      </c>
      <c r="D573" s="43" t="s">
        <v>268</v>
      </c>
      <c r="E573" s="44">
        <v>1</v>
      </c>
      <c r="F573" s="30">
        <f>SUM(G574:G578)/E573</f>
        <v>7.5</v>
      </c>
      <c r="G573" s="45">
        <f t="shared" si="74"/>
        <v>7.5</v>
      </c>
      <c r="H573" s="677" t="s">
        <v>181</v>
      </c>
      <c r="J573" s="41"/>
    </row>
    <row r="574" spans="1:10" ht="12" customHeight="1" thickBot="1" x14ac:dyDescent="0.3">
      <c r="A574" s="583"/>
      <c r="B574" s="204">
        <v>122</v>
      </c>
      <c r="C574" s="205" t="s">
        <v>323</v>
      </c>
      <c r="D574" s="206" t="s">
        <v>268</v>
      </c>
      <c r="E574" s="241">
        <f>0.0165*E573</f>
        <v>1.6500000000000001E-2</v>
      </c>
      <c r="F574" s="208">
        <v>30.09</v>
      </c>
      <c r="G574" s="210">
        <f t="shared" si="74"/>
        <v>0.5</v>
      </c>
      <c r="H574" s="58" t="s">
        <v>59</v>
      </c>
      <c r="I574" s="482">
        <v>7.5</v>
      </c>
      <c r="J574" s="41"/>
    </row>
    <row r="575" spans="1:10" ht="24.75" customHeight="1" x14ac:dyDescent="0.25">
      <c r="A575" s="583"/>
      <c r="B575" s="429">
        <v>88267</v>
      </c>
      <c r="C575" s="430" t="s">
        <v>755</v>
      </c>
      <c r="D575" s="431" t="s">
        <v>257</v>
      </c>
      <c r="E575" s="432">
        <f>0.1495*E573</f>
        <v>0.14949999999999999</v>
      </c>
      <c r="F575" s="464">
        <v>17.940000000000001</v>
      </c>
      <c r="G575" s="434">
        <f>F575*E575</f>
        <v>2.68</v>
      </c>
      <c r="H575" s="220">
        <f>I574-H577</f>
        <v>4.71</v>
      </c>
      <c r="J575" s="41"/>
    </row>
    <row r="576" spans="1:10" ht="12" customHeight="1" x14ac:dyDescent="0.25">
      <c r="A576" s="583"/>
      <c r="B576" s="429">
        <v>88316</v>
      </c>
      <c r="C576" s="430" t="s">
        <v>690</v>
      </c>
      <c r="D576" s="431" t="s">
        <v>257</v>
      </c>
      <c r="E576" s="432">
        <f>0.15*E573</f>
        <v>0.15</v>
      </c>
      <c r="F576" s="464">
        <v>13.56</v>
      </c>
      <c r="G576" s="434">
        <f>F576*E576</f>
        <v>2.0299999999999998</v>
      </c>
      <c r="H576" s="60" t="s">
        <v>60</v>
      </c>
      <c r="J576" s="41"/>
    </row>
    <row r="577" spans="1:10" ht="12" customHeight="1" thickBot="1" x14ac:dyDescent="0.3">
      <c r="A577" s="583"/>
      <c r="B577" s="204">
        <v>20083</v>
      </c>
      <c r="C577" s="205" t="s">
        <v>324</v>
      </c>
      <c r="D577" s="206" t="s">
        <v>268</v>
      </c>
      <c r="E577" s="241">
        <f>0.019*E573</f>
        <v>1.9E-2</v>
      </c>
      <c r="F577" s="208">
        <v>35.64</v>
      </c>
      <c r="G577" s="210">
        <f t="shared" si="74"/>
        <v>0.68</v>
      </c>
      <c r="H577" s="221">
        <f>G574+G577+G578</f>
        <v>2.79</v>
      </c>
      <c r="J577" s="41"/>
    </row>
    <row r="578" spans="1:10" ht="12" customHeight="1" thickBot="1" x14ac:dyDescent="0.3">
      <c r="A578" s="584"/>
      <c r="B578" s="211">
        <v>813</v>
      </c>
      <c r="C578" s="216" t="s">
        <v>475</v>
      </c>
      <c r="D578" s="212" t="s">
        <v>268</v>
      </c>
      <c r="E578" s="271">
        <f>1*E573</f>
        <v>1</v>
      </c>
      <c r="F578" s="214">
        <v>1.61</v>
      </c>
      <c r="G578" s="215">
        <f t="shared" si="74"/>
        <v>1.61</v>
      </c>
      <c r="H578" s="678"/>
      <c r="J578" s="41"/>
    </row>
    <row r="579" spans="1:10" ht="21" customHeight="1" thickBot="1" x14ac:dyDescent="0.3">
      <c r="A579" s="582" t="s">
        <v>182</v>
      </c>
      <c r="B579" s="305">
        <v>72704</v>
      </c>
      <c r="C579" s="42" t="s">
        <v>68</v>
      </c>
      <c r="D579" s="43" t="s">
        <v>268</v>
      </c>
      <c r="E579" s="44">
        <v>1</v>
      </c>
      <c r="F579" s="30">
        <f>SUM(G580:G584)/E579</f>
        <v>8.58</v>
      </c>
      <c r="G579" s="45">
        <f t="shared" si="74"/>
        <v>8.58</v>
      </c>
      <c r="H579" s="677" t="s">
        <v>182</v>
      </c>
      <c r="J579" s="41"/>
    </row>
    <row r="580" spans="1:10" ht="12" customHeight="1" thickBot="1" x14ac:dyDescent="0.3">
      <c r="A580" s="583"/>
      <c r="B580" s="204">
        <v>122</v>
      </c>
      <c r="C580" s="205" t="s">
        <v>323</v>
      </c>
      <c r="D580" s="206" t="s">
        <v>268</v>
      </c>
      <c r="E580" s="241">
        <f>0.02*E579</f>
        <v>0.02</v>
      </c>
      <c r="F580" s="208">
        <v>30.09</v>
      </c>
      <c r="G580" s="210">
        <f t="shared" si="74"/>
        <v>0.6</v>
      </c>
      <c r="H580" s="58" t="s">
        <v>59</v>
      </c>
      <c r="I580" s="482">
        <v>8.58</v>
      </c>
      <c r="J580" s="41"/>
    </row>
    <row r="581" spans="1:10" ht="23.25" customHeight="1" x14ac:dyDescent="0.25">
      <c r="A581" s="583"/>
      <c r="B581" s="429">
        <v>88267</v>
      </c>
      <c r="C581" s="430" t="s">
        <v>755</v>
      </c>
      <c r="D581" s="431" t="s">
        <v>257</v>
      </c>
      <c r="E581" s="432">
        <f>0.15*E579</f>
        <v>0.15</v>
      </c>
      <c r="F581" s="464">
        <v>17.940000000000001</v>
      </c>
      <c r="G581" s="434">
        <f>F581*E581</f>
        <v>2.69</v>
      </c>
      <c r="H581" s="220">
        <f>I580-H583</f>
        <v>4.72</v>
      </c>
      <c r="J581" s="41"/>
    </row>
    <row r="582" spans="1:10" ht="12" customHeight="1" x14ac:dyDescent="0.25">
      <c r="A582" s="583"/>
      <c r="B582" s="429">
        <v>88316</v>
      </c>
      <c r="C582" s="430" t="s">
        <v>690</v>
      </c>
      <c r="D582" s="431" t="s">
        <v>257</v>
      </c>
      <c r="E582" s="432">
        <f>0.15*E579</f>
        <v>0.15</v>
      </c>
      <c r="F582" s="464">
        <v>13.56</v>
      </c>
      <c r="G582" s="434">
        <f>F582*E582</f>
        <v>2.0299999999999998</v>
      </c>
      <c r="H582" s="60" t="s">
        <v>60</v>
      </c>
      <c r="J582" s="41"/>
    </row>
    <row r="583" spans="1:10" ht="12" customHeight="1" thickBot="1" x14ac:dyDescent="0.3">
      <c r="A583" s="583"/>
      <c r="B583" s="204">
        <v>20083</v>
      </c>
      <c r="C583" s="205" t="s">
        <v>324</v>
      </c>
      <c r="D583" s="206" t="s">
        <v>268</v>
      </c>
      <c r="E583" s="241">
        <f>0.025*E579</f>
        <v>2.5000000000000001E-2</v>
      </c>
      <c r="F583" s="208">
        <v>35.64</v>
      </c>
      <c r="G583" s="210">
        <f t="shared" si="74"/>
        <v>0.89</v>
      </c>
      <c r="H583" s="221">
        <f>G580+G583+G584</f>
        <v>3.86</v>
      </c>
      <c r="J583" s="41"/>
    </row>
    <row r="584" spans="1:10" ht="24" customHeight="1" thickBot="1" x14ac:dyDescent="0.3">
      <c r="A584" s="584"/>
      <c r="B584" s="211">
        <v>820</v>
      </c>
      <c r="C584" s="216" t="s">
        <v>473</v>
      </c>
      <c r="D584" s="212" t="s">
        <v>268</v>
      </c>
      <c r="E584" s="271">
        <f>1*E579</f>
        <v>1</v>
      </c>
      <c r="F584" s="214">
        <v>2.37</v>
      </c>
      <c r="G584" s="215">
        <f t="shared" si="74"/>
        <v>2.37</v>
      </c>
      <c r="H584" s="678"/>
      <c r="J584" s="41"/>
    </row>
    <row r="585" spans="1:10" ht="23.25" customHeight="1" thickBot="1" x14ac:dyDescent="0.25">
      <c r="A585" s="582" t="s">
        <v>183</v>
      </c>
      <c r="B585" s="305" t="s">
        <v>78</v>
      </c>
      <c r="C585" s="42" t="s">
        <v>249</v>
      </c>
      <c r="D585" s="43" t="s">
        <v>232</v>
      </c>
      <c r="E585" s="75">
        <v>1</v>
      </c>
      <c r="F585" s="30">
        <f>SUM(G586:G588)/E585</f>
        <v>6.03</v>
      </c>
      <c r="G585" s="74">
        <f t="shared" si="74"/>
        <v>6.03</v>
      </c>
      <c r="H585" s="193" t="s">
        <v>59</v>
      </c>
      <c r="I585" s="482">
        <v>6.03</v>
      </c>
      <c r="J585" s="41"/>
    </row>
    <row r="586" spans="1:10" ht="25.5" customHeight="1" x14ac:dyDescent="0.25">
      <c r="A586" s="583"/>
      <c r="B586" s="429">
        <v>88267</v>
      </c>
      <c r="C586" s="430" t="s">
        <v>755</v>
      </c>
      <c r="D586" s="431" t="s">
        <v>257</v>
      </c>
      <c r="E586" s="432">
        <f>0.1195*E585</f>
        <v>0.1195</v>
      </c>
      <c r="F586" s="464">
        <v>17.940000000000001</v>
      </c>
      <c r="G586" s="434">
        <f>F586*E586</f>
        <v>2.14</v>
      </c>
      <c r="H586" s="217">
        <f>I585-H588</f>
        <v>3.77</v>
      </c>
      <c r="I586" s="11" t="s">
        <v>183</v>
      </c>
      <c r="J586" s="41"/>
    </row>
    <row r="587" spans="1:10" ht="12" customHeight="1" x14ac:dyDescent="0.25">
      <c r="A587" s="583"/>
      <c r="B587" s="429">
        <v>88316</v>
      </c>
      <c r="C587" s="430" t="s">
        <v>690</v>
      </c>
      <c r="D587" s="431" t="s">
        <v>257</v>
      </c>
      <c r="E587" s="432">
        <f>0.12*E585</f>
        <v>0.12</v>
      </c>
      <c r="F587" s="464">
        <v>13.56</v>
      </c>
      <c r="G587" s="434">
        <f>F587*E587</f>
        <v>1.63</v>
      </c>
      <c r="H587" s="93" t="s">
        <v>60</v>
      </c>
      <c r="J587" s="41"/>
    </row>
    <row r="588" spans="1:10" ht="12" customHeight="1" thickBot="1" x14ac:dyDescent="0.3">
      <c r="A588" s="584"/>
      <c r="B588" s="211">
        <v>9868</v>
      </c>
      <c r="C588" s="216" t="s">
        <v>262</v>
      </c>
      <c r="D588" s="212" t="s">
        <v>232</v>
      </c>
      <c r="E588" s="213">
        <f>1*E585</f>
        <v>1</v>
      </c>
      <c r="F588" s="214">
        <v>2.2599999999999998</v>
      </c>
      <c r="G588" s="270">
        <f t="shared" si="74"/>
        <v>2.2599999999999998</v>
      </c>
      <c r="H588" s="218">
        <f>G588</f>
        <v>2.2599999999999998</v>
      </c>
      <c r="J588" s="41"/>
    </row>
    <row r="589" spans="1:10" ht="23.25" customHeight="1" thickBot="1" x14ac:dyDescent="0.25">
      <c r="A589" s="582" t="s">
        <v>184</v>
      </c>
      <c r="B589" s="305" t="s">
        <v>80</v>
      </c>
      <c r="C589" s="42" t="s">
        <v>79</v>
      </c>
      <c r="D589" s="43" t="s">
        <v>232</v>
      </c>
      <c r="E589" s="75">
        <v>1</v>
      </c>
      <c r="F589" s="30">
        <f>SUM(G590:G592)/E589</f>
        <v>9.23</v>
      </c>
      <c r="G589" s="45">
        <f t="shared" si="74"/>
        <v>9.23</v>
      </c>
      <c r="H589" s="193" t="s">
        <v>59</v>
      </c>
      <c r="I589" s="482">
        <v>9.23</v>
      </c>
      <c r="J589" s="41"/>
    </row>
    <row r="590" spans="1:10" ht="24" customHeight="1" x14ac:dyDescent="0.25">
      <c r="A590" s="583"/>
      <c r="B590" s="429">
        <v>88267</v>
      </c>
      <c r="C590" s="430" t="s">
        <v>755</v>
      </c>
      <c r="D590" s="431" t="s">
        <v>257</v>
      </c>
      <c r="E590" s="432">
        <f>0.13*E589</f>
        <v>0.13</v>
      </c>
      <c r="F590" s="464">
        <v>17.940000000000001</v>
      </c>
      <c r="G590" s="434">
        <f>F590*E590</f>
        <v>2.33</v>
      </c>
      <c r="H590" s="217">
        <f>I589-H592</f>
        <v>4.09</v>
      </c>
      <c r="I590" s="11" t="s">
        <v>184</v>
      </c>
      <c r="J590" s="41"/>
    </row>
    <row r="591" spans="1:10" ht="12" customHeight="1" x14ac:dyDescent="0.25">
      <c r="A591" s="583"/>
      <c r="B591" s="429">
        <v>88316</v>
      </c>
      <c r="C591" s="430" t="s">
        <v>690</v>
      </c>
      <c r="D591" s="431" t="s">
        <v>257</v>
      </c>
      <c r="E591" s="432">
        <f>0.13*E589</f>
        <v>0.13</v>
      </c>
      <c r="F591" s="464">
        <v>13.56</v>
      </c>
      <c r="G591" s="434">
        <f>F591*E591</f>
        <v>1.76</v>
      </c>
      <c r="H591" s="93" t="s">
        <v>60</v>
      </c>
      <c r="J591" s="41"/>
    </row>
    <row r="592" spans="1:10" ht="12" customHeight="1" thickBot="1" x14ac:dyDescent="0.3">
      <c r="A592" s="584"/>
      <c r="B592" s="211">
        <v>9869</v>
      </c>
      <c r="C592" s="216" t="s">
        <v>83</v>
      </c>
      <c r="D592" s="212" t="s">
        <v>232</v>
      </c>
      <c r="E592" s="213">
        <f>1*E589</f>
        <v>1</v>
      </c>
      <c r="F592" s="214">
        <v>5.14</v>
      </c>
      <c r="G592" s="270">
        <f t="shared" si="74"/>
        <v>5.14</v>
      </c>
      <c r="H592" s="218">
        <f>G592</f>
        <v>5.14</v>
      </c>
      <c r="J592" s="41"/>
    </row>
    <row r="593" spans="1:10" ht="28.5" customHeight="1" thickBot="1" x14ac:dyDescent="0.25">
      <c r="A593" s="582" t="s">
        <v>185</v>
      </c>
      <c r="B593" s="305" t="s">
        <v>477</v>
      </c>
      <c r="C593" s="42" t="s">
        <v>476</v>
      </c>
      <c r="D593" s="43" t="s">
        <v>232</v>
      </c>
      <c r="E593" s="75">
        <v>1</v>
      </c>
      <c r="F593" s="30">
        <f>SUM(G594:G596)/E593</f>
        <v>13.29</v>
      </c>
      <c r="G593" s="45">
        <f t="shared" si="74"/>
        <v>13.29</v>
      </c>
      <c r="H593" s="193" t="s">
        <v>59</v>
      </c>
      <c r="I593" s="482">
        <v>13.29</v>
      </c>
      <c r="J593" s="41"/>
    </row>
    <row r="594" spans="1:10" ht="23.25" customHeight="1" x14ac:dyDescent="0.25">
      <c r="A594" s="583"/>
      <c r="B594" s="429">
        <v>88267</v>
      </c>
      <c r="C594" s="430" t="s">
        <v>755</v>
      </c>
      <c r="D594" s="431" t="s">
        <v>257</v>
      </c>
      <c r="E594" s="432">
        <f>0.199*E593</f>
        <v>0.19900000000000001</v>
      </c>
      <c r="F594" s="464">
        <v>17.940000000000001</v>
      </c>
      <c r="G594" s="434">
        <f>F594*E594</f>
        <v>3.57</v>
      </c>
      <c r="H594" s="217">
        <f>I593-H596</f>
        <v>6.28</v>
      </c>
      <c r="I594" s="11" t="s">
        <v>185</v>
      </c>
      <c r="J594" s="41"/>
    </row>
    <row r="595" spans="1:10" ht="12" customHeight="1" x14ac:dyDescent="0.25">
      <c r="A595" s="583"/>
      <c r="B595" s="429">
        <v>88316</v>
      </c>
      <c r="C595" s="430" t="s">
        <v>690</v>
      </c>
      <c r="D595" s="431" t="s">
        <v>257</v>
      </c>
      <c r="E595" s="432">
        <f>0.2*E593</f>
        <v>0.2</v>
      </c>
      <c r="F595" s="464">
        <v>13.56</v>
      </c>
      <c r="G595" s="434">
        <f>F595*E595</f>
        <v>2.71</v>
      </c>
      <c r="H595" s="93" t="s">
        <v>60</v>
      </c>
      <c r="J595" s="41"/>
    </row>
    <row r="596" spans="1:10" ht="12" customHeight="1" thickBot="1" x14ac:dyDescent="0.3">
      <c r="A596" s="584"/>
      <c r="B596" s="211">
        <v>9874</v>
      </c>
      <c r="C596" s="216" t="s">
        <v>1266</v>
      </c>
      <c r="D596" s="212" t="s">
        <v>232</v>
      </c>
      <c r="E596" s="213">
        <f>1*E593</f>
        <v>1</v>
      </c>
      <c r="F596" s="214">
        <v>7.01</v>
      </c>
      <c r="G596" s="270">
        <f t="shared" si="74"/>
        <v>7.01</v>
      </c>
      <c r="H596" s="218">
        <f>G596</f>
        <v>7.01</v>
      </c>
      <c r="J596" s="41"/>
    </row>
    <row r="597" spans="1:10" ht="25.5" customHeight="1" thickBot="1" x14ac:dyDescent="0.25">
      <c r="A597" s="582" t="s">
        <v>186</v>
      </c>
      <c r="B597" s="305" t="s">
        <v>81</v>
      </c>
      <c r="C597" s="42" t="s">
        <v>82</v>
      </c>
      <c r="D597" s="43" t="s">
        <v>232</v>
      </c>
      <c r="E597" s="75">
        <v>1</v>
      </c>
      <c r="F597" s="30">
        <f>SUM(G598:G600)/E597</f>
        <v>15.77</v>
      </c>
      <c r="G597" s="74">
        <f t="shared" si="74"/>
        <v>15.77</v>
      </c>
      <c r="H597" s="193" t="s">
        <v>59</v>
      </c>
      <c r="I597" s="482">
        <v>15.77</v>
      </c>
      <c r="J597" s="41"/>
    </row>
    <row r="598" spans="1:10" ht="24.75" customHeight="1" x14ac:dyDescent="0.25">
      <c r="A598" s="583"/>
      <c r="B598" s="429">
        <v>88267</v>
      </c>
      <c r="C598" s="430" t="s">
        <v>755</v>
      </c>
      <c r="D598" s="431" t="s">
        <v>257</v>
      </c>
      <c r="E598" s="432">
        <f>0.2395*E597</f>
        <v>0.23949999999999999</v>
      </c>
      <c r="F598" s="464">
        <v>17.940000000000001</v>
      </c>
      <c r="G598" s="434">
        <f>F598*E598</f>
        <v>4.3</v>
      </c>
      <c r="H598" s="217">
        <f>I597-H600</f>
        <v>7.55</v>
      </c>
      <c r="I598" s="11" t="s">
        <v>186</v>
      </c>
      <c r="J598" s="41"/>
    </row>
    <row r="599" spans="1:10" ht="12" customHeight="1" x14ac:dyDescent="0.25">
      <c r="A599" s="583"/>
      <c r="B599" s="429">
        <v>88316</v>
      </c>
      <c r="C599" s="430" t="s">
        <v>690</v>
      </c>
      <c r="D599" s="431" t="s">
        <v>257</v>
      </c>
      <c r="E599" s="432">
        <f>0.24*E597</f>
        <v>0.24</v>
      </c>
      <c r="F599" s="464">
        <v>13.56</v>
      </c>
      <c r="G599" s="434">
        <f>F599*E599</f>
        <v>3.25</v>
      </c>
      <c r="H599" s="93" t="s">
        <v>60</v>
      </c>
      <c r="J599" s="41"/>
    </row>
    <row r="600" spans="1:10" ht="12" customHeight="1" thickBot="1" x14ac:dyDescent="0.3">
      <c r="A600" s="584"/>
      <c r="B600" s="211">
        <v>9875</v>
      </c>
      <c r="C600" s="216" t="s">
        <v>84</v>
      </c>
      <c r="D600" s="212" t="s">
        <v>232</v>
      </c>
      <c r="E600" s="213">
        <f>1*E597</f>
        <v>1</v>
      </c>
      <c r="F600" s="214">
        <v>8.2200000000000006</v>
      </c>
      <c r="G600" s="270">
        <f t="shared" si="74"/>
        <v>8.2200000000000006</v>
      </c>
      <c r="H600" s="218">
        <f>G600</f>
        <v>8.2200000000000006</v>
      </c>
      <c r="J600" s="41"/>
    </row>
    <row r="601" spans="1:10" ht="23.25" thickBot="1" x14ac:dyDescent="0.3">
      <c r="A601" s="582" t="s">
        <v>187</v>
      </c>
      <c r="B601" s="305">
        <v>85118</v>
      </c>
      <c r="C601" s="42" t="s">
        <v>58</v>
      </c>
      <c r="D601" s="43" t="s">
        <v>268</v>
      </c>
      <c r="E601" s="75">
        <v>1</v>
      </c>
      <c r="F601" s="30">
        <f>SUM(G602:G605)/E601</f>
        <v>56.82</v>
      </c>
      <c r="G601" s="45">
        <f t="shared" ref="G601:G606" si="75">F601*E601</f>
        <v>56.82</v>
      </c>
      <c r="H601" s="677" t="s">
        <v>187</v>
      </c>
    </row>
    <row r="602" spans="1:10" ht="23.25" thickBot="1" x14ac:dyDescent="0.3">
      <c r="A602" s="583"/>
      <c r="B602" s="429">
        <v>88267</v>
      </c>
      <c r="C602" s="430" t="s">
        <v>755</v>
      </c>
      <c r="D602" s="739" t="s">
        <v>281</v>
      </c>
      <c r="E602" s="379">
        <f>0.611*E601</f>
        <v>0.61099999999999999</v>
      </c>
      <c r="F602" s="464">
        <v>17.940000000000001</v>
      </c>
      <c r="G602" s="741">
        <f t="shared" si="75"/>
        <v>10.96</v>
      </c>
      <c r="H602" s="58" t="s">
        <v>59</v>
      </c>
      <c r="I602" s="482">
        <v>56.82</v>
      </c>
    </row>
    <row r="603" spans="1:10" x14ac:dyDescent="0.25">
      <c r="A603" s="583"/>
      <c r="B603" s="204">
        <v>3146</v>
      </c>
      <c r="C603" s="205" t="s">
        <v>326</v>
      </c>
      <c r="D603" s="206" t="s">
        <v>268</v>
      </c>
      <c r="E603" s="207">
        <f>0.02*E601</f>
        <v>0.02</v>
      </c>
      <c r="F603" s="208">
        <v>1.8</v>
      </c>
      <c r="G603" s="209">
        <f t="shared" si="75"/>
        <v>0.04</v>
      </c>
      <c r="H603" s="220">
        <f>I602-H605</f>
        <v>19.600000000000001</v>
      </c>
    </row>
    <row r="604" spans="1:10" ht="22.5" customHeight="1" x14ac:dyDescent="0.25">
      <c r="A604" s="583"/>
      <c r="B604" s="204">
        <v>6024</v>
      </c>
      <c r="C604" s="205" t="s">
        <v>489</v>
      </c>
      <c r="D604" s="206" t="s">
        <v>268</v>
      </c>
      <c r="E604" s="207">
        <f>1*E601</f>
        <v>1</v>
      </c>
      <c r="F604" s="208">
        <v>37.18</v>
      </c>
      <c r="G604" s="209">
        <f t="shared" si="75"/>
        <v>37.18</v>
      </c>
      <c r="H604" s="60" t="s">
        <v>60</v>
      </c>
    </row>
    <row r="605" spans="1:10" ht="23.25" thickBot="1" x14ac:dyDescent="0.3">
      <c r="A605" s="584"/>
      <c r="B605" s="429">
        <v>88248</v>
      </c>
      <c r="C605" s="430" t="s">
        <v>756</v>
      </c>
      <c r="D605" s="739" t="s">
        <v>281</v>
      </c>
      <c r="E605" s="379">
        <f>0.61*E601</f>
        <v>0.61</v>
      </c>
      <c r="F605" s="464">
        <v>14.16</v>
      </c>
      <c r="G605" s="741">
        <f t="shared" si="75"/>
        <v>8.64</v>
      </c>
      <c r="H605" s="221">
        <f>G603+G604</f>
        <v>37.22</v>
      </c>
    </row>
    <row r="606" spans="1:10" ht="23.25" thickBot="1" x14ac:dyDescent="0.3">
      <c r="A606" s="582" t="s">
        <v>188</v>
      </c>
      <c r="B606" s="307" t="s">
        <v>478</v>
      </c>
      <c r="C606" s="27" t="s">
        <v>479</v>
      </c>
      <c r="D606" s="28" t="s">
        <v>268</v>
      </c>
      <c r="E606" s="190">
        <v>1</v>
      </c>
      <c r="F606" s="30">
        <f>SUM(G607:G610)/E606</f>
        <v>66.760000000000005</v>
      </c>
      <c r="G606" s="45">
        <f t="shared" si="75"/>
        <v>66.760000000000005</v>
      </c>
      <c r="H606" s="680" t="s">
        <v>188</v>
      </c>
    </row>
    <row r="607" spans="1:10" ht="23.25" thickBot="1" x14ac:dyDescent="0.3">
      <c r="A607" s="583"/>
      <c r="B607" s="429">
        <v>88267</v>
      </c>
      <c r="C607" s="430" t="s">
        <v>755</v>
      </c>
      <c r="D607" s="739" t="s">
        <v>281</v>
      </c>
      <c r="E607" s="379">
        <f>0.851*E606</f>
        <v>0.85099999999999998</v>
      </c>
      <c r="F607" s="464">
        <v>17.940000000000001</v>
      </c>
      <c r="G607" s="741">
        <f t="shared" ref="G607" si="76">F607*E607</f>
        <v>15.27</v>
      </c>
      <c r="H607" s="58" t="s">
        <v>59</v>
      </c>
      <c r="I607" s="482">
        <v>66.760000000000005</v>
      </c>
    </row>
    <row r="608" spans="1:10" x14ac:dyDescent="0.25">
      <c r="A608" s="583"/>
      <c r="B608" s="204">
        <v>3146</v>
      </c>
      <c r="C608" s="205" t="s">
        <v>326</v>
      </c>
      <c r="D608" s="206" t="s">
        <v>268</v>
      </c>
      <c r="E608" s="241">
        <f>0.1838*E606</f>
        <v>0.18379999999999999</v>
      </c>
      <c r="F608" s="208">
        <v>1.8</v>
      </c>
      <c r="G608" s="210">
        <f t="shared" ref="G608:G614" si="77">F608*E608</f>
        <v>0.33</v>
      </c>
      <c r="H608" s="220">
        <f>I607-H610</f>
        <v>27.32</v>
      </c>
    </row>
    <row r="609" spans="1:9" ht="14.25" customHeight="1" x14ac:dyDescent="0.25">
      <c r="A609" s="583"/>
      <c r="B609" s="204">
        <v>6010</v>
      </c>
      <c r="C609" s="205" t="s">
        <v>763</v>
      </c>
      <c r="D609" s="206" t="s">
        <v>268</v>
      </c>
      <c r="E609" s="241">
        <f>1*E606</f>
        <v>1</v>
      </c>
      <c r="F609" s="208">
        <v>39.11</v>
      </c>
      <c r="G609" s="210">
        <f t="shared" si="77"/>
        <v>39.11</v>
      </c>
      <c r="H609" s="60" t="s">
        <v>60</v>
      </c>
    </row>
    <row r="610" spans="1:9" ht="23.25" thickBot="1" x14ac:dyDescent="0.3">
      <c r="A610" s="584"/>
      <c r="B610" s="429">
        <v>88248</v>
      </c>
      <c r="C610" s="430" t="s">
        <v>756</v>
      </c>
      <c r="D610" s="739" t="s">
        <v>281</v>
      </c>
      <c r="E610" s="379">
        <f>0.851*E606</f>
        <v>0.85099999999999998</v>
      </c>
      <c r="F610" s="464">
        <v>14.16</v>
      </c>
      <c r="G610" s="741">
        <f t="shared" si="77"/>
        <v>12.05</v>
      </c>
      <c r="H610" s="221">
        <f>G608+G609</f>
        <v>39.44</v>
      </c>
    </row>
    <row r="611" spans="1:9" ht="23.25" thickBot="1" x14ac:dyDescent="0.3">
      <c r="A611" s="582" t="s">
        <v>189</v>
      </c>
      <c r="B611" s="305" t="s">
        <v>61</v>
      </c>
      <c r="C611" s="42" t="s">
        <v>62</v>
      </c>
      <c r="D611" s="43" t="s">
        <v>268</v>
      </c>
      <c r="E611" s="75">
        <v>1</v>
      </c>
      <c r="F611" s="30">
        <f>SUM(G612:G615)/E611</f>
        <v>40.39</v>
      </c>
      <c r="G611" s="45">
        <f t="shared" si="77"/>
        <v>40.39</v>
      </c>
      <c r="H611" s="677" t="s">
        <v>189</v>
      </c>
      <c r="I611" s="187"/>
    </row>
    <row r="612" spans="1:9" ht="23.25" thickBot="1" x14ac:dyDescent="0.3">
      <c r="A612" s="583"/>
      <c r="B612" s="429">
        <v>88267</v>
      </c>
      <c r="C612" s="430" t="s">
        <v>755</v>
      </c>
      <c r="D612" s="739" t="s">
        <v>281</v>
      </c>
      <c r="E612" s="379">
        <f>0.5405*E611</f>
        <v>0.54049999999999998</v>
      </c>
      <c r="F612" s="464">
        <v>17.940000000000001</v>
      </c>
      <c r="G612" s="741">
        <f t="shared" si="77"/>
        <v>9.6999999999999993</v>
      </c>
      <c r="H612" s="58" t="s">
        <v>59</v>
      </c>
      <c r="I612" s="482">
        <v>40.39</v>
      </c>
    </row>
    <row r="613" spans="1:9" x14ac:dyDescent="0.25">
      <c r="A613" s="583"/>
      <c r="B613" s="204">
        <v>3146</v>
      </c>
      <c r="C613" s="205" t="s">
        <v>326</v>
      </c>
      <c r="D613" s="206" t="s">
        <v>268</v>
      </c>
      <c r="E613" s="207">
        <f>0.12*E611</f>
        <v>0.12</v>
      </c>
      <c r="F613" s="208">
        <v>1.8</v>
      </c>
      <c r="G613" s="210">
        <f t="shared" si="77"/>
        <v>0.22</v>
      </c>
      <c r="H613" s="220">
        <f>I612-H615</f>
        <v>17.350000000000001</v>
      </c>
    </row>
    <row r="614" spans="1:9" x14ac:dyDescent="0.25">
      <c r="A614" s="583"/>
      <c r="B614" s="204">
        <v>6019</v>
      </c>
      <c r="C614" s="205" t="s">
        <v>63</v>
      </c>
      <c r="D614" s="206" t="s">
        <v>268</v>
      </c>
      <c r="E614" s="207">
        <f>1*E611</f>
        <v>1</v>
      </c>
      <c r="F614" s="208">
        <v>22.82</v>
      </c>
      <c r="G614" s="210">
        <f t="shared" si="77"/>
        <v>22.82</v>
      </c>
      <c r="H614" s="60" t="s">
        <v>60</v>
      </c>
    </row>
    <row r="615" spans="1:9" ht="23.25" thickBot="1" x14ac:dyDescent="0.3">
      <c r="A615" s="584"/>
      <c r="B615" s="429">
        <v>88248</v>
      </c>
      <c r="C615" s="430" t="s">
        <v>756</v>
      </c>
      <c r="D615" s="739" t="s">
        <v>281</v>
      </c>
      <c r="E615" s="379">
        <f>0.54*E611</f>
        <v>0.54</v>
      </c>
      <c r="F615" s="464">
        <v>14.16</v>
      </c>
      <c r="G615" s="741">
        <f t="shared" ref="G615" si="78">F615*E615</f>
        <v>7.65</v>
      </c>
      <c r="H615" s="221">
        <f>G613+G614</f>
        <v>23.04</v>
      </c>
    </row>
    <row r="616" spans="1:9" ht="23.25" thickBot="1" x14ac:dyDescent="0.3">
      <c r="A616" s="582" t="s">
        <v>190</v>
      </c>
      <c r="B616" s="307" t="s">
        <v>480</v>
      </c>
      <c r="C616" s="27" t="s">
        <v>481</v>
      </c>
      <c r="D616" s="28" t="s">
        <v>268</v>
      </c>
      <c r="E616" s="190">
        <v>1</v>
      </c>
      <c r="F616" s="30">
        <f>SUM(G617:G620)/E616</f>
        <v>57.41</v>
      </c>
      <c r="G616" s="45">
        <f t="shared" ref="G616:G629" si="79">F616*E616</f>
        <v>57.41</v>
      </c>
      <c r="H616" s="688" t="s">
        <v>190</v>
      </c>
      <c r="I616" s="187"/>
    </row>
    <row r="617" spans="1:9" ht="23.25" thickBot="1" x14ac:dyDescent="0.3">
      <c r="A617" s="583"/>
      <c r="B617" s="429">
        <v>88267</v>
      </c>
      <c r="C617" s="430" t="s">
        <v>755</v>
      </c>
      <c r="D617" s="739" t="s">
        <v>281</v>
      </c>
      <c r="E617" s="379">
        <f>0.6105*E616</f>
        <v>0.61050000000000004</v>
      </c>
      <c r="F617" s="464">
        <v>17.940000000000001</v>
      </c>
      <c r="G617" s="741">
        <f t="shared" si="79"/>
        <v>10.95</v>
      </c>
      <c r="H617" s="58" t="s">
        <v>59</v>
      </c>
      <c r="I617" s="482">
        <v>57.41</v>
      </c>
    </row>
    <row r="618" spans="1:9" x14ac:dyDescent="0.25">
      <c r="A618" s="583"/>
      <c r="B618" s="204">
        <v>3146</v>
      </c>
      <c r="C618" s="205" t="s">
        <v>326</v>
      </c>
      <c r="D618" s="206" t="s">
        <v>268</v>
      </c>
      <c r="E618" s="241">
        <f>0.094*E616</f>
        <v>9.4E-2</v>
      </c>
      <c r="F618" s="208">
        <v>1.8</v>
      </c>
      <c r="G618" s="210">
        <f t="shared" si="79"/>
        <v>0.17</v>
      </c>
      <c r="H618" s="220">
        <f>I617-H620</f>
        <v>19.600000000000001</v>
      </c>
    </row>
    <row r="619" spans="1:9" ht="13.5" customHeight="1" x14ac:dyDescent="0.25">
      <c r="A619" s="583"/>
      <c r="B619" s="204">
        <v>6005</v>
      </c>
      <c r="C619" s="205" t="s">
        <v>490</v>
      </c>
      <c r="D619" s="206" t="s">
        <v>268</v>
      </c>
      <c r="E619" s="241">
        <f>1*E616</f>
        <v>1</v>
      </c>
      <c r="F619" s="208">
        <v>37.64</v>
      </c>
      <c r="G619" s="210">
        <f t="shared" si="79"/>
        <v>37.64</v>
      </c>
      <c r="H619" s="60" t="s">
        <v>60</v>
      </c>
    </row>
    <row r="620" spans="1:9" ht="23.25" thickBot="1" x14ac:dyDescent="0.3">
      <c r="A620" s="584"/>
      <c r="B620" s="429">
        <v>88248</v>
      </c>
      <c r="C620" s="430" t="s">
        <v>756</v>
      </c>
      <c r="D620" s="739" t="s">
        <v>281</v>
      </c>
      <c r="E620" s="379">
        <f>0.6106*E616</f>
        <v>0.61060000000000003</v>
      </c>
      <c r="F620" s="464">
        <v>14.16</v>
      </c>
      <c r="G620" s="741">
        <f t="shared" si="79"/>
        <v>8.65</v>
      </c>
      <c r="H620" s="221">
        <f>G618+G619</f>
        <v>37.81</v>
      </c>
    </row>
    <row r="621" spans="1:9" ht="23.25" thickBot="1" x14ac:dyDescent="0.3">
      <c r="A621" s="582" t="s">
        <v>191</v>
      </c>
      <c r="B621" s="307" t="s">
        <v>482</v>
      </c>
      <c r="C621" s="27" t="s">
        <v>483</v>
      </c>
      <c r="D621" s="43" t="s">
        <v>268</v>
      </c>
      <c r="E621" s="44">
        <v>1</v>
      </c>
      <c r="F621" s="30">
        <f>SUM(G622:G625)/E621</f>
        <v>64.84</v>
      </c>
      <c r="G621" s="45">
        <f t="shared" si="79"/>
        <v>64.84</v>
      </c>
      <c r="H621" s="677" t="s">
        <v>191</v>
      </c>
      <c r="I621" s="187"/>
    </row>
    <row r="622" spans="1:9" ht="23.25" thickBot="1" x14ac:dyDescent="0.3">
      <c r="A622" s="583"/>
      <c r="B622" s="429">
        <v>88267</v>
      </c>
      <c r="C622" s="430" t="s">
        <v>755</v>
      </c>
      <c r="D622" s="739" t="s">
        <v>281</v>
      </c>
      <c r="E622" s="379">
        <f>0.6105*E621</f>
        <v>0.61050000000000004</v>
      </c>
      <c r="F622" s="464">
        <v>17.940000000000001</v>
      </c>
      <c r="G622" s="741">
        <f t="shared" ref="G622" si="80">F622*E622</f>
        <v>10.95</v>
      </c>
      <c r="H622" s="58" t="s">
        <v>59</v>
      </c>
      <c r="I622" s="482">
        <v>64.84</v>
      </c>
    </row>
    <row r="623" spans="1:9" x14ac:dyDescent="0.25">
      <c r="A623" s="583"/>
      <c r="B623" s="204">
        <v>3146</v>
      </c>
      <c r="C623" s="205" t="s">
        <v>326</v>
      </c>
      <c r="D623" s="206" t="s">
        <v>268</v>
      </c>
      <c r="E623" s="241">
        <f>0.12*E621</f>
        <v>0.12</v>
      </c>
      <c r="F623" s="208">
        <v>1.8</v>
      </c>
      <c r="G623" s="210">
        <f t="shared" si="79"/>
        <v>0.22</v>
      </c>
      <c r="H623" s="220">
        <f>I622-H625</f>
        <v>19.600000000000001</v>
      </c>
    </row>
    <row r="624" spans="1:9" ht="21.75" customHeight="1" x14ac:dyDescent="0.25">
      <c r="A624" s="583"/>
      <c r="B624" s="204">
        <v>6019</v>
      </c>
      <c r="C624" s="205" t="s">
        <v>764</v>
      </c>
      <c r="D624" s="206" t="s">
        <v>268</v>
      </c>
      <c r="E624" s="241">
        <f>1*E621</f>
        <v>1</v>
      </c>
      <c r="F624" s="208">
        <v>45.02</v>
      </c>
      <c r="G624" s="210">
        <f t="shared" si="79"/>
        <v>45.02</v>
      </c>
      <c r="H624" s="60" t="s">
        <v>60</v>
      </c>
    </row>
    <row r="625" spans="1:9" ht="23.25" thickBot="1" x14ac:dyDescent="0.3">
      <c r="A625" s="584"/>
      <c r="B625" s="429">
        <v>88248</v>
      </c>
      <c r="C625" s="430" t="s">
        <v>756</v>
      </c>
      <c r="D625" s="739" t="s">
        <v>281</v>
      </c>
      <c r="E625" s="379">
        <f>0.6106*E621</f>
        <v>0.61060000000000003</v>
      </c>
      <c r="F625" s="464">
        <v>14.16</v>
      </c>
      <c r="G625" s="741">
        <f t="shared" ref="G625" si="81">F625*E625</f>
        <v>8.65</v>
      </c>
      <c r="H625" s="221">
        <f>G623+G624</f>
        <v>45.24</v>
      </c>
    </row>
    <row r="626" spans="1:9" ht="23.25" thickBot="1" x14ac:dyDescent="0.3">
      <c r="A626" s="582" t="s">
        <v>765</v>
      </c>
      <c r="B626" s="307" t="s">
        <v>93</v>
      </c>
      <c r="C626" s="27" t="s">
        <v>484</v>
      </c>
      <c r="D626" s="43" t="s">
        <v>268</v>
      </c>
      <c r="E626" s="44">
        <v>1</v>
      </c>
      <c r="F626" s="30">
        <f>SUM(G627:G630)/E626</f>
        <v>42.06</v>
      </c>
      <c r="G626" s="45">
        <f t="shared" si="79"/>
        <v>42.06</v>
      </c>
      <c r="H626" s="680" t="s">
        <v>765</v>
      </c>
    </row>
    <row r="627" spans="1:9" ht="23.25" thickBot="1" x14ac:dyDescent="0.3">
      <c r="A627" s="583"/>
      <c r="B627" s="429">
        <v>88267</v>
      </c>
      <c r="C627" s="430" t="s">
        <v>755</v>
      </c>
      <c r="D627" s="739" t="s">
        <v>281</v>
      </c>
      <c r="E627" s="379">
        <f>0.5992*E626</f>
        <v>0.59919999999999995</v>
      </c>
      <c r="F627" s="464">
        <v>17.940000000000001</v>
      </c>
      <c r="G627" s="741">
        <f t="shared" si="79"/>
        <v>10.75</v>
      </c>
      <c r="H627" s="58" t="s">
        <v>59</v>
      </c>
      <c r="I627" s="482">
        <v>42.06</v>
      </c>
    </row>
    <row r="628" spans="1:9" x14ac:dyDescent="0.25">
      <c r="A628" s="583"/>
      <c r="B628" s="204">
        <v>14</v>
      </c>
      <c r="C628" s="205" t="s">
        <v>552</v>
      </c>
      <c r="D628" s="206" t="s">
        <v>271</v>
      </c>
      <c r="E628" s="241">
        <f>0.015*E626</f>
        <v>1.4999999999999999E-2</v>
      </c>
      <c r="F628" s="208">
        <v>5.33</v>
      </c>
      <c r="G628" s="210">
        <f t="shared" si="79"/>
        <v>0.08</v>
      </c>
      <c r="H628" s="220">
        <f>I627-H630</f>
        <v>18.88</v>
      </c>
    </row>
    <row r="629" spans="1:9" ht="20.25" customHeight="1" x14ac:dyDescent="0.25">
      <c r="A629" s="583"/>
      <c r="B629" s="204">
        <v>11749</v>
      </c>
      <c r="C629" s="205" t="s">
        <v>491</v>
      </c>
      <c r="D629" s="206" t="s">
        <v>268</v>
      </c>
      <c r="E629" s="241">
        <f>1*E626</f>
        <v>1</v>
      </c>
      <c r="F629" s="208">
        <v>23.1</v>
      </c>
      <c r="G629" s="210">
        <f t="shared" si="79"/>
        <v>23.1</v>
      </c>
      <c r="H629" s="60" t="s">
        <v>60</v>
      </c>
    </row>
    <row r="630" spans="1:9" ht="12" thickBot="1" x14ac:dyDescent="0.3">
      <c r="A630" s="584"/>
      <c r="B630" s="429">
        <v>88316</v>
      </c>
      <c r="C630" s="430" t="s">
        <v>690</v>
      </c>
      <c r="D630" s="431" t="s">
        <v>257</v>
      </c>
      <c r="E630" s="432">
        <f>0.5992*E626</f>
        <v>0.59919999999999995</v>
      </c>
      <c r="F630" s="464">
        <v>13.56</v>
      </c>
      <c r="G630" s="434">
        <f>F630*E630</f>
        <v>8.1300000000000008</v>
      </c>
      <c r="H630" s="221">
        <f>G628+G629</f>
        <v>23.18</v>
      </c>
    </row>
    <row r="631" spans="1:9" ht="23.25" thickBot="1" x14ac:dyDescent="0.3">
      <c r="A631" s="582" t="s">
        <v>766</v>
      </c>
      <c r="B631" s="605" t="s">
        <v>485</v>
      </c>
      <c r="C631" s="169" t="s">
        <v>486</v>
      </c>
      <c r="D631" s="43" t="s">
        <v>268</v>
      </c>
      <c r="E631" s="44">
        <v>1</v>
      </c>
      <c r="F631" s="30">
        <f>SUM(G632:G635)/E631</f>
        <v>70.040000000000006</v>
      </c>
      <c r="G631" s="45">
        <f t="shared" ref="G631:G639" si="82">F631*E631</f>
        <v>70.040000000000006</v>
      </c>
      <c r="H631" s="680" t="s">
        <v>766</v>
      </c>
    </row>
    <row r="632" spans="1:9" ht="23.25" thickBot="1" x14ac:dyDescent="0.3">
      <c r="A632" s="583"/>
      <c r="B632" s="621">
        <v>88267</v>
      </c>
      <c r="C632" s="430" t="s">
        <v>755</v>
      </c>
      <c r="D632" s="739" t="s">
        <v>281</v>
      </c>
      <c r="E632" s="379">
        <f>0.5992*E631</f>
        <v>0.59919999999999995</v>
      </c>
      <c r="F632" s="464">
        <v>17.940000000000001</v>
      </c>
      <c r="G632" s="741">
        <f t="shared" si="82"/>
        <v>10.75</v>
      </c>
      <c r="H632" s="58" t="s">
        <v>59</v>
      </c>
      <c r="I632" s="482">
        <v>70.040000000000006</v>
      </c>
    </row>
    <row r="633" spans="1:9" x14ac:dyDescent="0.25">
      <c r="A633" s="583"/>
      <c r="B633" s="291">
        <v>3146</v>
      </c>
      <c r="C633" s="205" t="s">
        <v>326</v>
      </c>
      <c r="D633" s="206" t="s">
        <v>268</v>
      </c>
      <c r="E633" s="241">
        <f>0.12*E631</f>
        <v>0.12</v>
      </c>
      <c r="F633" s="208">
        <v>1.8</v>
      </c>
      <c r="G633" s="210">
        <f t="shared" si="82"/>
        <v>0.22</v>
      </c>
      <c r="H633" s="220">
        <f>I632-H635</f>
        <v>18.88</v>
      </c>
    </row>
    <row r="634" spans="1:9" ht="35.25" customHeight="1" x14ac:dyDescent="0.25">
      <c r="A634" s="583"/>
      <c r="B634" s="609">
        <v>10410</v>
      </c>
      <c r="C634" s="249" t="s">
        <v>1267</v>
      </c>
      <c r="D634" s="206" t="s">
        <v>268</v>
      </c>
      <c r="E634" s="241">
        <f>1*E631</f>
        <v>1</v>
      </c>
      <c r="F634" s="208">
        <v>50.94</v>
      </c>
      <c r="G634" s="210">
        <f t="shared" si="82"/>
        <v>50.94</v>
      </c>
      <c r="H634" s="60" t="s">
        <v>60</v>
      </c>
    </row>
    <row r="635" spans="1:9" ht="12" thickBot="1" x14ac:dyDescent="0.3">
      <c r="A635" s="584"/>
      <c r="B635" s="788">
        <v>88316</v>
      </c>
      <c r="C635" s="743" t="s">
        <v>690</v>
      </c>
      <c r="D635" s="749" t="s">
        <v>257</v>
      </c>
      <c r="E635" s="789">
        <f>0.5992*E631</f>
        <v>0.59919999999999995</v>
      </c>
      <c r="F635" s="790">
        <v>13.56</v>
      </c>
      <c r="G635" s="763">
        <f>F635*E635</f>
        <v>8.1300000000000008</v>
      </c>
      <c r="H635" s="221">
        <f>G633+G634</f>
        <v>51.16</v>
      </c>
    </row>
    <row r="636" spans="1:9" ht="23.25" thickBot="1" x14ac:dyDescent="0.3">
      <c r="A636" s="582" t="s">
        <v>767</v>
      </c>
      <c r="B636" s="307" t="s">
        <v>487</v>
      </c>
      <c r="C636" s="27" t="s">
        <v>488</v>
      </c>
      <c r="D636" s="43" t="s">
        <v>268</v>
      </c>
      <c r="E636" s="44">
        <v>1</v>
      </c>
      <c r="F636" s="30">
        <f>SUM(G637:G640)/E636</f>
        <v>52.8</v>
      </c>
      <c r="G636" s="45">
        <f t="shared" si="82"/>
        <v>52.8</v>
      </c>
      <c r="H636" s="680" t="s">
        <v>767</v>
      </c>
    </row>
    <row r="637" spans="1:9" ht="23.25" thickBot="1" x14ac:dyDescent="0.3">
      <c r="A637" s="583"/>
      <c r="B637" s="32">
        <v>88267</v>
      </c>
      <c r="C637" s="13" t="s">
        <v>755</v>
      </c>
      <c r="D637" s="17" t="s">
        <v>281</v>
      </c>
      <c r="E637" s="381">
        <f>0.5991*E636</f>
        <v>0.59909999999999997</v>
      </c>
      <c r="F637" s="18">
        <v>17.940000000000001</v>
      </c>
      <c r="G637" s="70">
        <f t="shared" ref="G637" si="83">F637*E637</f>
        <v>10.75</v>
      </c>
      <c r="H637" s="58" t="s">
        <v>59</v>
      </c>
      <c r="I637" s="482">
        <v>52.8</v>
      </c>
    </row>
    <row r="638" spans="1:9" x14ac:dyDescent="0.25">
      <c r="A638" s="583"/>
      <c r="B638" s="204">
        <v>14</v>
      </c>
      <c r="C638" s="205" t="s">
        <v>552</v>
      </c>
      <c r="D638" s="206" t="s">
        <v>268</v>
      </c>
      <c r="E638" s="241">
        <f>0.02*E636</f>
        <v>0.02</v>
      </c>
      <c r="F638" s="208">
        <v>5.33</v>
      </c>
      <c r="G638" s="210">
        <f t="shared" si="82"/>
        <v>0.11</v>
      </c>
      <c r="H638" s="220">
        <f>I637-H640</f>
        <v>18.87</v>
      </c>
    </row>
    <row r="639" spans="1:9" x14ac:dyDescent="0.25">
      <c r="A639" s="583"/>
      <c r="B639" s="204">
        <v>10234</v>
      </c>
      <c r="C639" s="205" t="s">
        <v>1268</v>
      </c>
      <c r="D639" s="206" t="s">
        <v>268</v>
      </c>
      <c r="E639" s="241">
        <f>1*E636</f>
        <v>1</v>
      </c>
      <c r="F639" s="208">
        <v>33.82</v>
      </c>
      <c r="G639" s="210">
        <f t="shared" si="82"/>
        <v>33.82</v>
      </c>
      <c r="H639" s="60" t="s">
        <v>60</v>
      </c>
    </row>
    <row r="640" spans="1:9" ht="12" thickBot="1" x14ac:dyDescent="0.3">
      <c r="A640" s="584"/>
      <c r="B640" s="465">
        <v>88316</v>
      </c>
      <c r="C640" s="466" t="s">
        <v>690</v>
      </c>
      <c r="D640" s="467" t="s">
        <v>257</v>
      </c>
      <c r="E640" s="731">
        <f>0.5991*E636</f>
        <v>0.59909999999999997</v>
      </c>
      <c r="F640" s="469">
        <v>13.56</v>
      </c>
      <c r="G640" s="730">
        <f>F640*E640</f>
        <v>8.1199999999999992</v>
      </c>
      <c r="H640" s="221">
        <f>G638+G639</f>
        <v>33.93</v>
      </c>
    </row>
    <row r="641" spans="1:11" ht="21" customHeight="1" thickBot="1" x14ac:dyDescent="0.3">
      <c r="A641" s="832">
        <v>14</v>
      </c>
      <c r="B641" s="833"/>
      <c r="C641" s="822" t="s">
        <v>768</v>
      </c>
      <c r="D641" s="823"/>
      <c r="E641" s="823"/>
      <c r="F641" s="823"/>
      <c r="G641" s="823"/>
      <c r="H641" s="824"/>
    </row>
    <row r="642" spans="1:11" ht="43.5" customHeight="1" x14ac:dyDescent="0.2">
      <c r="A642" s="582" t="s">
        <v>192</v>
      </c>
      <c r="B642" s="581" t="s">
        <v>56</v>
      </c>
      <c r="C642" s="78" t="s">
        <v>251</v>
      </c>
      <c r="D642" s="79" t="s">
        <v>268</v>
      </c>
      <c r="E642" s="87">
        <v>1</v>
      </c>
      <c r="F642" s="49">
        <f>SUM(G643:G647)/E642</f>
        <v>134.86000000000001</v>
      </c>
      <c r="G642" s="334">
        <f>F642*E642</f>
        <v>134.86000000000001</v>
      </c>
      <c r="H642" s="105" t="s">
        <v>59</v>
      </c>
      <c r="I642" s="380"/>
    </row>
    <row r="643" spans="1:11" ht="11.85" customHeight="1" x14ac:dyDescent="0.25">
      <c r="A643" s="583"/>
      <c r="B643" s="429">
        <v>2696</v>
      </c>
      <c r="C643" s="430" t="s">
        <v>260</v>
      </c>
      <c r="D643" s="431" t="s">
        <v>257</v>
      </c>
      <c r="E643" s="371">
        <f>0.65*E642</f>
        <v>0.65</v>
      </c>
      <c r="F643" s="433">
        <v>14.85</v>
      </c>
      <c r="G643" s="481">
        <f t="shared" ref="G643:G651" si="84">F643*E643</f>
        <v>9.65</v>
      </c>
      <c r="H643" s="220">
        <f>G642-H645</f>
        <v>17.170000000000002</v>
      </c>
    </row>
    <row r="644" spans="1:11" ht="11.85" customHeight="1" x14ac:dyDescent="0.25">
      <c r="A644" s="583"/>
      <c r="B644" s="204">
        <v>3146</v>
      </c>
      <c r="C644" s="205" t="s">
        <v>326</v>
      </c>
      <c r="D644" s="206" t="s">
        <v>268</v>
      </c>
      <c r="E644" s="207">
        <f>0.028*E642</f>
        <v>2.8000000000000001E-2</v>
      </c>
      <c r="F644" s="308">
        <v>1.8</v>
      </c>
      <c r="G644" s="209">
        <f t="shared" si="84"/>
        <v>0.05</v>
      </c>
      <c r="H644" s="60" t="s">
        <v>60</v>
      </c>
    </row>
    <row r="645" spans="1:11" ht="11.85" customHeight="1" thickBot="1" x14ac:dyDescent="0.3">
      <c r="A645" s="583"/>
      <c r="B645" s="429">
        <v>6116</v>
      </c>
      <c r="C645" s="430" t="s">
        <v>322</v>
      </c>
      <c r="D645" s="431" t="s">
        <v>257</v>
      </c>
      <c r="E645" s="371">
        <f>0.65*E642</f>
        <v>0.65</v>
      </c>
      <c r="F645" s="551">
        <v>11.57</v>
      </c>
      <c r="G645" s="481">
        <f t="shared" si="84"/>
        <v>7.52</v>
      </c>
      <c r="H645" s="221">
        <f>G644+G646+G647</f>
        <v>117.69</v>
      </c>
    </row>
    <row r="646" spans="1:11" ht="11.85" customHeight="1" x14ac:dyDescent="0.25">
      <c r="A646" s="583"/>
      <c r="B646" s="204">
        <v>6141</v>
      </c>
      <c r="C646" s="205" t="s">
        <v>285</v>
      </c>
      <c r="D646" s="206" t="s">
        <v>268</v>
      </c>
      <c r="E646" s="207">
        <f>1*E642</f>
        <v>1</v>
      </c>
      <c r="F646" s="308">
        <v>2.14</v>
      </c>
      <c r="G646" s="209">
        <f t="shared" si="84"/>
        <v>2.14</v>
      </c>
      <c r="H646" s="693"/>
    </row>
    <row r="647" spans="1:11" ht="11.85" customHeight="1" thickBot="1" x14ac:dyDescent="0.3">
      <c r="A647" s="584"/>
      <c r="B647" s="211" t="s">
        <v>16</v>
      </c>
      <c r="C647" s="216" t="s">
        <v>57</v>
      </c>
      <c r="D647" s="212" t="s">
        <v>268</v>
      </c>
      <c r="E647" s="213">
        <f>1*E642</f>
        <v>1</v>
      </c>
      <c r="F647" s="309">
        <f>110*1.05</f>
        <v>115.5</v>
      </c>
      <c r="G647" s="209">
        <f t="shared" si="84"/>
        <v>115.5</v>
      </c>
      <c r="H647" s="693"/>
    </row>
    <row r="648" spans="1:11" ht="22.5" customHeight="1" thickBot="1" x14ac:dyDescent="0.3">
      <c r="A648" s="582" t="s">
        <v>194</v>
      </c>
      <c r="B648" s="605">
        <v>86914</v>
      </c>
      <c r="C648" s="195" t="s">
        <v>492</v>
      </c>
      <c r="D648" s="43" t="s">
        <v>268</v>
      </c>
      <c r="E648" s="44">
        <v>1</v>
      </c>
      <c r="F648" s="30">
        <f>SUM(G649:G652)/E648</f>
        <v>33.619999999999997</v>
      </c>
      <c r="G648" s="45">
        <f t="shared" si="84"/>
        <v>33.619999999999997</v>
      </c>
      <c r="H648" s="693"/>
      <c r="I648" s="482">
        <v>33.619999999999997</v>
      </c>
      <c r="K648" s="41"/>
    </row>
    <row r="649" spans="1:11" ht="11.85" customHeight="1" x14ac:dyDescent="0.25">
      <c r="A649" s="583"/>
      <c r="B649" s="621">
        <v>88267</v>
      </c>
      <c r="C649" s="430" t="s">
        <v>755</v>
      </c>
      <c r="D649" s="739" t="s">
        <v>281</v>
      </c>
      <c r="E649" s="379">
        <f>0.15*E648</f>
        <v>0.15</v>
      </c>
      <c r="F649" s="464">
        <v>17.940000000000001</v>
      </c>
      <c r="G649" s="741">
        <f t="shared" si="84"/>
        <v>2.69</v>
      </c>
      <c r="H649" s="58" t="s">
        <v>59</v>
      </c>
    </row>
    <row r="650" spans="1:11" ht="11.85" customHeight="1" x14ac:dyDescent="0.25">
      <c r="A650" s="583"/>
      <c r="B650" s="291">
        <v>3146</v>
      </c>
      <c r="C650" s="205" t="s">
        <v>326</v>
      </c>
      <c r="D650" s="206" t="s">
        <v>268</v>
      </c>
      <c r="E650" s="207">
        <f>0.0304*E653</f>
        <v>3.04E-2</v>
      </c>
      <c r="F650" s="208">
        <v>1.8</v>
      </c>
      <c r="G650" s="209">
        <f t="shared" si="84"/>
        <v>0.05</v>
      </c>
      <c r="H650" s="220">
        <f>I648-H652</f>
        <v>3.37</v>
      </c>
    </row>
    <row r="651" spans="1:11" ht="21.75" customHeight="1" x14ac:dyDescent="0.25">
      <c r="A651" s="583"/>
      <c r="B651" s="291">
        <v>13417</v>
      </c>
      <c r="C651" s="205" t="s">
        <v>790</v>
      </c>
      <c r="D651" s="206" t="s">
        <v>268</v>
      </c>
      <c r="E651" s="207">
        <f>1*E648</f>
        <v>1</v>
      </c>
      <c r="F651" s="208">
        <v>30.2</v>
      </c>
      <c r="G651" s="209">
        <f t="shared" si="84"/>
        <v>30.2</v>
      </c>
      <c r="H651" s="60" t="s">
        <v>60</v>
      </c>
    </row>
    <row r="652" spans="1:11" ht="11.85" customHeight="1" thickBot="1" x14ac:dyDescent="0.3">
      <c r="A652" s="584"/>
      <c r="B652" s="621">
        <v>88316</v>
      </c>
      <c r="C652" s="430" t="s">
        <v>690</v>
      </c>
      <c r="D652" s="431" t="s">
        <v>257</v>
      </c>
      <c r="E652" s="432">
        <f>0.05*E648</f>
        <v>0.05</v>
      </c>
      <c r="F652" s="464">
        <v>13.56</v>
      </c>
      <c r="G652" s="434">
        <f>F652*E652</f>
        <v>0.68</v>
      </c>
      <c r="H652" s="221">
        <f>G650+G651</f>
        <v>30.25</v>
      </c>
    </row>
    <row r="653" spans="1:11" ht="33.75" customHeight="1" thickBot="1" x14ac:dyDescent="0.3">
      <c r="A653" s="582" t="s">
        <v>195</v>
      </c>
      <c r="B653" s="605">
        <v>86909</v>
      </c>
      <c r="C653" s="169" t="s">
        <v>493</v>
      </c>
      <c r="D653" s="43" t="s">
        <v>268</v>
      </c>
      <c r="E653" s="44">
        <v>1</v>
      </c>
      <c r="F653" s="30">
        <f>SUM(G654:G657)/E653</f>
        <v>215.01</v>
      </c>
      <c r="G653" s="45">
        <f t="shared" ref="G653:G659" si="85">F653*E653</f>
        <v>215.01</v>
      </c>
      <c r="H653" s="688"/>
      <c r="I653" s="482">
        <v>215.01</v>
      </c>
    </row>
    <row r="654" spans="1:11" ht="11.85" customHeight="1" x14ac:dyDescent="0.25">
      <c r="A654" s="583"/>
      <c r="B654" s="621">
        <v>88267</v>
      </c>
      <c r="C654" s="430" t="s">
        <v>755</v>
      </c>
      <c r="D654" s="739" t="s">
        <v>281</v>
      </c>
      <c r="E654" s="379">
        <f>0.1695*E653</f>
        <v>0.16950000000000001</v>
      </c>
      <c r="F654" s="464">
        <v>17.940000000000001</v>
      </c>
      <c r="G654" s="741">
        <f t="shared" si="85"/>
        <v>3.04</v>
      </c>
      <c r="H654" s="58" t="s">
        <v>59</v>
      </c>
      <c r="K654" s="2"/>
    </row>
    <row r="655" spans="1:11" ht="11.85" customHeight="1" x14ac:dyDescent="0.25">
      <c r="A655" s="583"/>
      <c r="B655" s="291">
        <v>3146</v>
      </c>
      <c r="C655" s="205" t="s">
        <v>326</v>
      </c>
      <c r="D655" s="206" t="s">
        <v>268</v>
      </c>
      <c r="E655" s="207">
        <f>0.0304*E653</f>
        <v>3.04E-2</v>
      </c>
      <c r="F655" s="208">
        <v>1.8</v>
      </c>
      <c r="G655" s="209">
        <f t="shared" si="85"/>
        <v>0.05</v>
      </c>
      <c r="H655" s="220">
        <f>I653-H657</f>
        <v>3.72</v>
      </c>
    </row>
    <row r="656" spans="1:11" ht="23.25" customHeight="1" x14ac:dyDescent="0.25">
      <c r="A656" s="583"/>
      <c r="B656" s="291">
        <v>11772</v>
      </c>
      <c r="C656" s="205" t="s">
        <v>494</v>
      </c>
      <c r="D656" s="206" t="s">
        <v>268</v>
      </c>
      <c r="E656" s="207">
        <f>1*E653</f>
        <v>1</v>
      </c>
      <c r="F656" s="208">
        <v>211.24</v>
      </c>
      <c r="G656" s="209">
        <f t="shared" si="85"/>
        <v>211.24</v>
      </c>
      <c r="H656" s="60" t="s">
        <v>60</v>
      </c>
    </row>
    <row r="657" spans="1:9" ht="11.85" customHeight="1" thickBot="1" x14ac:dyDescent="0.3">
      <c r="A657" s="584"/>
      <c r="B657" s="621">
        <v>88316</v>
      </c>
      <c r="C657" s="430" t="s">
        <v>690</v>
      </c>
      <c r="D657" s="431" t="s">
        <v>257</v>
      </c>
      <c r="E657" s="432">
        <f>0.05*E653</f>
        <v>0.05</v>
      </c>
      <c r="F657" s="464">
        <v>13.56</v>
      </c>
      <c r="G657" s="434">
        <f>F657*E657</f>
        <v>0.68</v>
      </c>
      <c r="H657" s="221">
        <f>G655+G656</f>
        <v>211.29</v>
      </c>
    </row>
    <row r="658" spans="1:9" ht="36.75" customHeight="1" thickBot="1" x14ac:dyDescent="0.3">
      <c r="A658" s="582" t="s">
        <v>196</v>
      </c>
      <c r="B658" s="307">
        <v>6021</v>
      </c>
      <c r="C658" s="27" t="s">
        <v>1269</v>
      </c>
      <c r="D658" s="43" t="s">
        <v>268</v>
      </c>
      <c r="E658" s="44">
        <v>1</v>
      </c>
      <c r="F658" s="30">
        <f>SUM(G659:G664)/E658</f>
        <v>198.06</v>
      </c>
      <c r="G658" s="45">
        <f t="shared" si="85"/>
        <v>198.06</v>
      </c>
      <c r="H658" s="688"/>
      <c r="I658" s="482">
        <v>198.06</v>
      </c>
    </row>
    <row r="659" spans="1:9" ht="23.25" customHeight="1" x14ac:dyDescent="0.25">
      <c r="A659" s="583"/>
      <c r="B659" s="429">
        <v>88267</v>
      </c>
      <c r="C659" s="430" t="s">
        <v>755</v>
      </c>
      <c r="D659" s="739" t="s">
        <v>281</v>
      </c>
      <c r="E659" s="379">
        <f>2.104*E658</f>
        <v>2.1040000000000001</v>
      </c>
      <c r="F659" s="464">
        <v>17.940000000000001</v>
      </c>
      <c r="G659" s="741">
        <f t="shared" si="85"/>
        <v>37.75</v>
      </c>
      <c r="H659" s="58" t="s">
        <v>59</v>
      </c>
    </row>
    <row r="660" spans="1:9" ht="11.85" customHeight="1" x14ac:dyDescent="0.25">
      <c r="A660" s="583"/>
      <c r="B660" s="429">
        <v>88248</v>
      </c>
      <c r="C660" s="430" t="s">
        <v>756</v>
      </c>
      <c r="D660" s="431" t="s">
        <v>257</v>
      </c>
      <c r="E660" s="432">
        <f>2*E658</f>
        <v>2</v>
      </c>
      <c r="F660" s="433">
        <v>14.16</v>
      </c>
      <c r="G660" s="434">
        <f>F660*E660</f>
        <v>28.32</v>
      </c>
      <c r="H660" s="220">
        <f>I658-H662</f>
        <v>66.069999999999993</v>
      </c>
    </row>
    <row r="661" spans="1:9" ht="12" customHeight="1" x14ac:dyDescent="0.25">
      <c r="A661" s="583"/>
      <c r="B661" s="204">
        <v>10420</v>
      </c>
      <c r="C661" s="205" t="s">
        <v>1271</v>
      </c>
      <c r="D661" s="206" t="s">
        <v>268</v>
      </c>
      <c r="E661" s="241">
        <v>1</v>
      </c>
      <c r="F661" s="208">
        <v>105.76</v>
      </c>
      <c r="G661" s="210">
        <f t="shared" ref="G661:G666" si="86">F661*E661</f>
        <v>105.76</v>
      </c>
      <c r="H661" s="60" t="s">
        <v>60</v>
      </c>
    </row>
    <row r="662" spans="1:9" ht="12" customHeight="1" thickBot="1" x14ac:dyDescent="0.3">
      <c r="A662" s="583"/>
      <c r="B662" s="204">
        <v>6092</v>
      </c>
      <c r="C662" s="205" t="s">
        <v>1270</v>
      </c>
      <c r="D662" s="206" t="s">
        <v>13</v>
      </c>
      <c r="E662" s="241">
        <v>0.1</v>
      </c>
      <c r="F662" s="208">
        <v>25.8</v>
      </c>
      <c r="G662" s="210">
        <f t="shared" si="86"/>
        <v>2.58</v>
      </c>
      <c r="H662" s="221">
        <f>SUM(G661:G664)</f>
        <v>131.99</v>
      </c>
    </row>
    <row r="663" spans="1:9" ht="25.5" customHeight="1" x14ac:dyDescent="0.25">
      <c r="A663" s="583"/>
      <c r="B663" s="204">
        <v>4384</v>
      </c>
      <c r="C663" s="205" t="s">
        <v>785</v>
      </c>
      <c r="D663" s="206" t="s">
        <v>268</v>
      </c>
      <c r="E663" s="241">
        <v>2</v>
      </c>
      <c r="F663" s="208">
        <v>11.54</v>
      </c>
      <c r="G663" s="210">
        <f t="shared" si="86"/>
        <v>23.08</v>
      </c>
      <c r="H663" s="688"/>
    </row>
    <row r="664" spans="1:9" ht="11.85" customHeight="1" thickBot="1" x14ac:dyDescent="0.3">
      <c r="A664" s="584"/>
      <c r="B664" s="211">
        <v>1380</v>
      </c>
      <c r="C664" s="216" t="s">
        <v>495</v>
      </c>
      <c r="D664" s="212" t="s">
        <v>13</v>
      </c>
      <c r="E664" s="271">
        <v>0.2</v>
      </c>
      <c r="F664" s="214">
        <v>2.85</v>
      </c>
      <c r="G664" s="215">
        <f t="shared" si="86"/>
        <v>0.56999999999999995</v>
      </c>
      <c r="H664" s="688"/>
    </row>
    <row r="665" spans="1:9" ht="36" customHeight="1" thickBot="1" x14ac:dyDescent="0.3">
      <c r="A665" s="582" t="s">
        <v>197</v>
      </c>
      <c r="B665" s="307" t="s">
        <v>496</v>
      </c>
      <c r="C665" s="27" t="s">
        <v>769</v>
      </c>
      <c r="D665" s="43" t="s">
        <v>268</v>
      </c>
      <c r="E665" s="44">
        <v>1</v>
      </c>
      <c r="F665" s="30">
        <f>SUM(G666:G672)/E665</f>
        <v>325.14999999999998</v>
      </c>
      <c r="G665" s="45">
        <f t="shared" si="86"/>
        <v>325.14999999999998</v>
      </c>
      <c r="H665" s="688"/>
      <c r="I665" s="482">
        <v>325.14999999999998</v>
      </c>
    </row>
    <row r="666" spans="1:9" ht="11.85" customHeight="1" x14ac:dyDescent="0.25">
      <c r="A666" s="583"/>
      <c r="B666" s="429">
        <v>88267</v>
      </c>
      <c r="C666" s="430" t="s">
        <v>755</v>
      </c>
      <c r="D666" s="739" t="s">
        <v>281</v>
      </c>
      <c r="E666" s="379">
        <f>3.2048*E665</f>
        <v>3.2048000000000001</v>
      </c>
      <c r="F666" s="464">
        <v>17.940000000000001</v>
      </c>
      <c r="G666" s="741">
        <f t="shared" si="86"/>
        <v>57.49</v>
      </c>
      <c r="H666" s="58" t="s">
        <v>59</v>
      </c>
    </row>
    <row r="667" spans="1:9" ht="11.85" customHeight="1" x14ac:dyDescent="0.25">
      <c r="A667" s="583"/>
      <c r="B667" s="429">
        <v>88248</v>
      </c>
      <c r="C667" s="430" t="s">
        <v>756</v>
      </c>
      <c r="D667" s="431" t="s">
        <v>257</v>
      </c>
      <c r="E667" s="432">
        <f>3.205*E665</f>
        <v>3.2050000000000001</v>
      </c>
      <c r="F667" s="433">
        <v>14.16</v>
      </c>
      <c r="G667" s="434">
        <f>F667*E667</f>
        <v>45.38</v>
      </c>
      <c r="H667" s="220">
        <f>I665-H669</f>
        <v>102.87</v>
      </c>
    </row>
    <row r="668" spans="1:9" ht="11.25" customHeight="1" x14ac:dyDescent="0.25">
      <c r="A668" s="583"/>
      <c r="B668" s="204">
        <v>10432</v>
      </c>
      <c r="C668" s="205" t="s">
        <v>1071</v>
      </c>
      <c r="D668" s="206" t="s">
        <v>268</v>
      </c>
      <c r="E668" s="241">
        <v>1</v>
      </c>
      <c r="F668" s="208">
        <v>156.51</v>
      </c>
      <c r="G668" s="210">
        <f t="shared" ref="G668:G674" si="87">F668*E668</f>
        <v>156.51</v>
      </c>
      <c r="H668" s="60" t="s">
        <v>60</v>
      </c>
    </row>
    <row r="669" spans="1:9" ht="23.25" customHeight="1" thickBot="1" x14ac:dyDescent="0.3">
      <c r="A669" s="583"/>
      <c r="B669" s="204">
        <v>6021</v>
      </c>
      <c r="C669" s="205" t="s">
        <v>1072</v>
      </c>
      <c r="D669" s="206" t="s">
        <v>13</v>
      </c>
      <c r="E669" s="241">
        <v>1</v>
      </c>
      <c r="F669" s="208">
        <v>34</v>
      </c>
      <c r="G669" s="210">
        <f t="shared" si="87"/>
        <v>34</v>
      </c>
      <c r="H669" s="221">
        <f>SUM(G668:G672)</f>
        <v>222.28</v>
      </c>
    </row>
    <row r="670" spans="1:9" ht="21" customHeight="1" x14ac:dyDescent="0.25">
      <c r="A670" s="583"/>
      <c r="B670" s="204">
        <v>4351</v>
      </c>
      <c r="C670" s="205" t="s">
        <v>1073</v>
      </c>
      <c r="D670" s="206" t="s">
        <v>268</v>
      </c>
      <c r="E670" s="241">
        <v>2</v>
      </c>
      <c r="F670" s="208">
        <v>2.88</v>
      </c>
      <c r="G670" s="210">
        <f t="shared" si="87"/>
        <v>5.76</v>
      </c>
      <c r="H670" s="688"/>
    </row>
    <row r="671" spans="1:9" ht="11.25" customHeight="1" x14ac:dyDescent="0.25">
      <c r="A671" s="583"/>
      <c r="B671" s="242">
        <v>11683</v>
      </c>
      <c r="C671" s="243" t="s">
        <v>553</v>
      </c>
      <c r="D671" s="206" t="s">
        <v>268</v>
      </c>
      <c r="E671" s="245">
        <v>1</v>
      </c>
      <c r="F671" s="246">
        <v>25.87</v>
      </c>
      <c r="G671" s="247">
        <f t="shared" si="87"/>
        <v>25.87</v>
      </c>
      <c r="H671" s="688"/>
    </row>
    <row r="672" spans="1:9" ht="9.75" customHeight="1" thickBot="1" x14ac:dyDescent="0.3">
      <c r="A672" s="584"/>
      <c r="B672" s="211">
        <v>3146</v>
      </c>
      <c r="C672" s="216" t="s">
        <v>326</v>
      </c>
      <c r="D672" s="212" t="s">
        <v>268</v>
      </c>
      <c r="E672" s="271">
        <v>7.5999999999999998E-2</v>
      </c>
      <c r="F672" s="214">
        <v>1.8</v>
      </c>
      <c r="G672" s="215">
        <f t="shared" si="87"/>
        <v>0.14000000000000001</v>
      </c>
      <c r="H672" s="688"/>
    </row>
    <row r="673" spans="1:9" ht="32.25" customHeight="1" thickBot="1" x14ac:dyDescent="0.3">
      <c r="A673" s="582" t="s">
        <v>198</v>
      </c>
      <c r="B673" s="310" t="s">
        <v>554</v>
      </c>
      <c r="C673" s="27" t="s">
        <v>497</v>
      </c>
      <c r="D673" s="43" t="s">
        <v>268</v>
      </c>
      <c r="E673" s="44">
        <v>1</v>
      </c>
      <c r="F673" s="30">
        <f>SUM(G674:G685)/E673</f>
        <v>899.15</v>
      </c>
      <c r="G673" s="45">
        <f>F673*E673</f>
        <v>899.15</v>
      </c>
      <c r="H673" s="688"/>
    </row>
    <row r="674" spans="1:9" ht="12" customHeight="1" thickBot="1" x14ac:dyDescent="0.3">
      <c r="A674" s="583"/>
      <c r="B674" s="429">
        <v>6116</v>
      </c>
      <c r="C674" s="430" t="s">
        <v>322</v>
      </c>
      <c r="D674" s="431" t="s">
        <v>257</v>
      </c>
      <c r="E674" s="432">
        <v>2.15</v>
      </c>
      <c r="F674" s="433">
        <v>11.57</v>
      </c>
      <c r="G674" s="434">
        <f t="shared" si="87"/>
        <v>24.88</v>
      </c>
      <c r="H674" s="58" t="s">
        <v>59</v>
      </c>
      <c r="I674" s="482">
        <f>H677+H675</f>
        <v>899.15</v>
      </c>
    </row>
    <row r="675" spans="1:9" ht="12" customHeight="1" x14ac:dyDescent="0.25">
      <c r="A675" s="583"/>
      <c r="B675" s="429">
        <v>4750</v>
      </c>
      <c r="C675" s="430" t="s">
        <v>261</v>
      </c>
      <c r="D675" s="431" t="s">
        <v>257</v>
      </c>
      <c r="E675" s="791">
        <v>2</v>
      </c>
      <c r="F675" s="497">
        <v>14.79</v>
      </c>
      <c r="G675" s="434">
        <f>F675*E675</f>
        <v>29.58</v>
      </c>
      <c r="H675" s="220">
        <f>(G674+G675+G676+G677)/E673</f>
        <v>89.37</v>
      </c>
    </row>
    <row r="676" spans="1:9" ht="12" customHeight="1" x14ac:dyDescent="0.25">
      <c r="A676" s="583"/>
      <c r="B676" s="429">
        <v>6111</v>
      </c>
      <c r="C676" s="430" t="s">
        <v>274</v>
      </c>
      <c r="D676" s="431" t="s">
        <v>257</v>
      </c>
      <c r="E676" s="791">
        <v>2</v>
      </c>
      <c r="F676" s="497">
        <v>1.49</v>
      </c>
      <c r="G676" s="434">
        <f>F676*E676</f>
        <v>2.98</v>
      </c>
      <c r="H676" s="60" t="s">
        <v>60</v>
      </c>
    </row>
    <row r="677" spans="1:9" ht="12" customHeight="1" thickBot="1" x14ac:dyDescent="0.3">
      <c r="A677" s="583"/>
      <c r="B677" s="204">
        <v>2696</v>
      </c>
      <c r="C677" s="205" t="s">
        <v>260</v>
      </c>
      <c r="D677" s="206" t="s">
        <v>257</v>
      </c>
      <c r="E677" s="241">
        <v>2.15</v>
      </c>
      <c r="F677" s="226">
        <v>14.85</v>
      </c>
      <c r="G677" s="210">
        <f>F677*E677</f>
        <v>31.93</v>
      </c>
      <c r="H677" s="221">
        <f>F673-H675</f>
        <v>809.78</v>
      </c>
    </row>
    <row r="678" spans="1:9" ht="12" customHeight="1" x14ac:dyDescent="0.25">
      <c r="A678" s="583"/>
      <c r="B678" s="204">
        <v>11795</v>
      </c>
      <c r="C678" s="205" t="s">
        <v>1046</v>
      </c>
      <c r="D678" s="206" t="s">
        <v>498</v>
      </c>
      <c r="E678" s="241">
        <f>2.3*0.55</f>
        <v>1.2649999999999999</v>
      </c>
      <c r="F678" s="226">
        <v>246.24</v>
      </c>
      <c r="G678" s="210">
        <f t="shared" ref="G678:G687" si="88">F678*E678</f>
        <v>311.49</v>
      </c>
      <c r="H678" s="688"/>
    </row>
    <row r="679" spans="1:9" ht="24.75" customHeight="1" x14ac:dyDescent="0.25">
      <c r="A679" s="583"/>
      <c r="B679" s="204">
        <v>20270</v>
      </c>
      <c r="C679" s="205" t="s">
        <v>1074</v>
      </c>
      <c r="D679" s="206" t="s">
        <v>502</v>
      </c>
      <c r="E679" s="241">
        <v>2</v>
      </c>
      <c r="F679" s="226">
        <v>63.46</v>
      </c>
      <c r="G679" s="210">
        <f t="shared" si="88"/>
        <v>126.92</v>
      </c>
      <c r="H679" s="688"/>
    </row>
    <row r="680" spans="1:9" ht="13.5" customHeight="1" x14ac:dyDescent="0.25">
      <c r="A680" s="583"/>
      <c r="B680" s="204">
        <v>11760</v>
      </c>
      <c r="C680" s="205" t="s">
        <v>1075</v>
      </c>
      <c r="D680" s="206" t="s">
        <v>502</v>
      </c>
      <c r="E680" s="241">
        <v>2</v>
      </c>
      <c r="F680" s="226">
        <v>133.34</v>
      </c>
      <c r="G680" s="210">
        <f t="shared" si="88"/>
        <v>266.68</v>
      </c>
      <c r="H680" s="688"/>
    </row>
    <row r="681" spans="1:9" ht="23.25" customHeight="1" x14ac:dyDescent="0.25">
      <c r="A681" s="583"/>
      <c r="B681" s="204">
        <v>6157</v>
      </c>
      <c r="C681" s="205" t="s">
        <v>1076</v>
      </c>
      <c r="D681" s="206" t="s">
        <v>502</v>
      </c>
      <c r="E681" s="241">
        <v>2</v>
      </c>
      <c r="F681" s="226">
        <v>45.51</v>
      </c>
      <c r="G681" s="210">
        <f t="shared" si="88"/>
        <v>91.02</v>
      </c>
      <c r="H681" s="688"/>
    </row>
    <row r="682" spans="1:9" ht="21.75" customHeight="1" x14ac:dyDescent="0.25">
      <c r="A682" s="583"/>
      <c r="B682" s="204">
        <v>6141</v>
      </c>
      <c r="C682" s="205" t="s">
        <v>1077</v>
      </c>
      <c r="D682" s="206" t="s">
        <v>502</v>
      </c>
      <c r="E682" s="241">
        <v>2</v>
      </c>
      <c r="F682" s="226">
        <v>2.14</v>
      </c>
      <c r="G682" s="210">
        <f t="shared" si="88"/>
        <v>4.28</v>
      </c>
      <c r="H682" s="688"/>
    </row>
    <row r="683" spans="1:9" ht="12" customHeight="1" x14ac:dyDescent="0.25">
      <c r="A683" s="583"/>
      <c r="B683" s="204">
        <v>3143</v>
      </c>
      <c r="C683" s="205" t="s">
        <v>325</v>
      </c>
      <c r="D683" s="206" t="s">
        <v>502</v>
      </c>
      <c r="E683" s="241">
        <v>1</v>
      </c>
      <c r="F683" s="226">
        <v>4.1500000000000004</v>
      </c>
      <c r="G683" s="210">
        <f t="shared" si="88"/>
        <v>4.1500000000000004</v>
      </c>
      <c r="H683" s="688"/>
    </row>
    <row r="684" spans="1:9" ht="12" customHeight="1" x14ac:dyDescent="0.25">
      <c r="A684" s="583"/>
      <c r="B684" s="204">
        <v>1380</v>
      </c>
      <c r="C684" s="205" t="s">
        <v>495</v>
      </c>
      <c r="D684" s="206" t="s">
        <v>13</v>
      </c>
      <c r="E684" s="241">
        <v>1.1000000000000001</v>
      </c>
      <c r="F684" s="208">
        <v>2.85</v>
      </c>
      <c r="G684" s="210">
        <f t="shared" si="88"/>
        <v>3.14</v>
      </c>
      <c r="H684" s="688"/>
    </row>
    <row r="685" spans="1:9" ht="21.75" customHeight="1" thickBot="1" x14ac:dyDescent="0.3">
      <c r="A685" s="584"/>
      <c r="B685" s="211">
        <v>87377</v>
      </c>
      <c r="C685" s="216" t="s">
        <v>1078</v>
      </c>
      <c r="D685" s="212" t="s">
        <v>33</v>
      </c>
      <c r="E685" s="271">
        <v>5.0000000000000001E-3</v>
      </c>
      <c r="F685" s="214">
        <v>420.22</v>
      </c>
      <c r="G685" s="215">
        <f t="shared" si="88"/>
        <v>2.1</v>
      </c>
      <c r="H685" s="688"/>
    </row>
    <row r="686" spans="1:9" ht="39.75" customHeight="1" thickBot="1" x14ac:dyDescent="0.3">
      <c r="A686" s="582" t="s">
        <v>199</v>
      </c>
      <c r="B686" s="310" t="s">
        <v>770</v>
      </c>
      <c r="C686" s="197" t="s">
        <v>503</v>
      </c>
      <c r="D686" s="43" t="s">
        <v>268</v>
      </c>
      <c r="E686" s="44">
        <v>1</v>
      </c>
      <c r="F686" s="30">
        <f>SUM(G687:G695)/E686</f>
        <v>414.03</v>
      </c>
      <c r="G686" s="45">
        <f t="shared" si="88"/>
        <v>414.03</v>
      </c>
      <c r="H686" s="688"/>
    </row>
    <row r="687" spans="1:9" ht="12" customHeight="1" thickBot="1" x14ac:dyDescent="0.3">
      <c r="A687" s="583"/>
      <c r="B687" s="142">
        <v>6116</v>
      </c>
      <c r="C687" s="137" t="s">
        <v>322</v>
      </c>
      <c r="D687" s="138" t="s">
        <v>257</v>
      </c>
      <c r="E687" s="139">
        <v>2.1</v>
      </c>
      <c r="F687" s="140">
        <v>11.57</v>
      </c>
      <c r="G687" s="143">
        <f t="shared" si="88"/>
        <v>24.3</v>
      </c>
      <c r="H687" s="58" t="s">
        <v>59</v>
      </c>
      <c r="I687" s="482">
        <f>H690+H688</f>
        <v>414.03</v>
      </c>
    </row>
    <row r="688" spans="1:9" ht="12" customHeight="1" x14ac:dyDescent="0.25">
      <c r="A688" s="583"/>
      <c r="B688" s="142">
        <v>2696</v>
      </c>
      <c r="C688" s="137" t="s">
        <v>260</v>
      </c>
      <c r="D688" s="138" t="s">
        <v>257</v>
      </c>
      <c r="E688" s="139">
        <v>2.1</v>
      </c>
      <c r="F688" s="196">
        <v>14.85</v>
      </c>
      <c r="G688" s="143">
        <f t="shared" ref="G688:G710" si="89">F688*E688</f>
        <v>31.19</v>
      </c>
      <c r="H688" s="220">
        <f>(G687+G688+G689)/E686</f>
        <v>58.64</v>
      </c>
    </row>
    <row r="689" spans="1:9" ht="12" customHeight="1" x14ac:dyDescent="0.25">
      <c r="A689" s="583"/>
      <c r="B689" s="142">
        <v>6111</v>
      </c>
      <c r="C689" s="137" t="s">
        <v>274</v>
      </c>
      <c r="D689" s="138" t="s">
        <v>257</v>
      </c>
      <c r="E689" s="200">
        <v>0.3</v>
      </c>
      <c r="F689" s="201">
        <v>10.49</v>
      </c>
      <c r="G689" s="143">
        <f t="shared" si="89"/>
        <v>3.15</v>
      </c>
      <c r="H689" s="60" t="s">
        <v>60</v>
      </c>
    </row>
    <row r="690" spans="1:9" ht="21.75" customHeight="1" thickBot="1" x14ac:dyDescent="0.3">
      <c r="A690" s="583"/>
      <c r="B690" s="204">
        <v>10425</v>
      </c>
      <c r="C690" s="205" t="s">
        <v>504</v>
      </c>
      <c r="D690" s="206" t="s">
        <v>268</v>
      </c>
      <c r="E690" s="241">
        <v>1</v>
      </c>
      <c r="F690" s="208">
        <v>47.48</v>
      </c>
      <c r="G690" s="210">
        <f t="shared" si="89"/>
        <v>47.48</v>
      </c>
      <c r="H690" s="221">
        <f>F686-H688</f>
        <v>355.39</v>
      </c>
    </row>
    <row r="691" spans="1:9" ht="13.5" customHeight="1" x14ac:dyDescent="0.25">
      <c r="A691" s="583"/>
      <c r="B691" s="204">
        <v>3146</v>
      </c>
      <c r="C691" s="205" t="s">
        <v>326</v>
      </c>
      <c r="D691" s="206" t="s">
        <v>268</v>
      </c>
      <c r="E691" s="241">
        <v>0.04</v>
      </c>
      <c r="F691" s="208">
        <v>1.8</v>
      </c>
      <c r="G691" s="210">
        <f t="shared" si="89"/>
        <v>7.0000000000000007E-2</v>
      </c>
      <c r="H691" s="688"/>
    </row>
    <row r="692" spans="1:9" ht="21.75" customHeight="1" x14ac:dyDescent="0.25">
      <c r="A692" s="583"/>
      <c r="B692" s="204">
        <v>4351</v>
      </c>
      <c r="C692" s="205" t="s">
        <v>505</v>
      </c>
      <c r="D692" s="206" t="s">
        <v>268</v>
      </c>
      <c r="E692" s="241">
        <v>2</v>
      </c>
      <c r="F692" s="208">
        <v>2.88</v>
      </c>
      <c r="G692" s="210">
        <f t="shared" si="89"/>
        <v>5.76</v>
      </c>
      <c r="H692" s="688"/>
    </row>
    <row r="693" spans="1:9" ht="21.75" customHeight="1" x14ac:dyDescent="0.25">
      <c r="A693" s="583"/>
      <c r="B693" s="204">
        <v>6136</v>
      </c>
      <c r="C693" s="205" t="s">
        <v>507</v>
      </c>
      <c r="D693" s="206" t="s">
        <v>268</v>
      </c>
      <c r="E693" s="241">
        <v>1</v>
      </c>
      <c r="F693" s="208">
        <v>106.57</v>
      </c>
      <c r="G693" s="210">
        <f t="shared" si="89"/>
        <v>106.57</v>
      </c>
      <c r="H693" s="688"/>
    </row>
    <row r="694" spans="1:9" ht="21.75" customHeight="1" x14ac:dyDescent="0.25">
      <c r="A694" s="583"/>
      <c r="B694" s="204">
        <v>6157</v>
      </c>
      <c r="C694" s="205" t="s">
        <v>500</v>
      </c>
      <c r="D694" s="206" t="s">
        <v>502</v>
      </c>
      <c r="E694" s="241">
        <v>1</v>
      </c>
      <c r="F694" s="226">
        <v>45.51</v>
      </c>
      <c r="G694" s="210">
        <f t="shared" si="89"/>
        <v>45.51</v>
      </c>
      <c r="H694" s="688"/>
    </row>
    <row r="695" spans="1:9" ht="12" customHeight="1" thickBot="1" x14ac:dyDescent="0.3">
      <c r="A695" s="584"/>
      <c r="B695" s="278" t="s">
        <v>16</v>
      </c>
      <c r="C695" s="216" t="s">
        <v>506</v>
      </c>
      <c r="D695" s="212" t="s">
        <v>268</v>
      </c>
      <c r="E695" s="271">
        <v>1</v>
      </c>
      <c r="F695" s="214">
        <v>150</v>
      </c>
      <c r="G695" s="215">
        <f t="shared" si="89"/>
        <v>150</v>
      </c>
      <c r="H695" s="688"/>
    </row>
    <row r="696" spans="1:9" ht="21.75" customHeight="1" thickBot="1" x14ac:dyDescent="0.3">
      <c r="A696" s="582" t="s">
        <v>200</v>
      </c>
      <c r="B696" s="382" t="s">
        <v>771</v>
      </c>
      <c r="C696" s="27" t="s">
        <v>509</v>
      </c>
      <c r="D696" s="43" t="s">
        <v>268</v>
      </c>
      <c r="E696" s="44">
        <v>1</v>
      </c>
      <c r="F696" s="30">
        <f>SUM(G697:G699)/E696</f>
        <v>289.85000000000002</v>
      </c>
      <c r="G696" s="45">
        <f t="shared" si="89"/>
        <v>289.85000000000002</v>
      </c>
      <c r="H696" s="58" t="s">
        <v>59</v>
      </c>
      <c r="I696" s="482">
        <f>H699+H697</f>
        <v>289.85000000000002</v>
      </c>
    </row>
    <row r="697" spans="1:9" ht="11.25" customHeight="1" x14ac:dyDescent="0.25">
      <c r="A697" s="583"/>
      <c r="B697" s="429">
        <v>6111</v>
      </c>
      <c r="C697" s="430" t="s">
        <v>274</v>
      </c>
      <c r="D697" s="431" t="s">
        <v>257</v>
      </c>
      <c r="E697" s="792">
        <v>0.5</v>
      </c>
      <c r="F697" s="551">
        <v>10.49</v>
      </c>
      <c r="G697" s="793">
        <f t="shared" si="89"/>
        <v>5.25</v>
      </c>
      <c r="H697" s="220">
        <f>(G697+G698)/E696</f>
        <v>12.65</v>
      </c>
    </row>
    <row r="698" spans="1:9" ht="12" customHeight="1" x14ac:dyDescent="0.25">
      <c r="A698" s="583"/>
      <c r="B698" s="429">
        <v>4750</v>
      </c>
      <c r="C698" s="430" t="s">
        <v>261</v>
      </c>
      <c r="D698" s="431" t="s">
        <v>257</v>
      </c>
      <c r="E698" s="791">
        <v>0.5</v>
      </c>
      <c r="F698" s="497">
        <v>14.79</v>
      </c>
      <c r="G698" s="434">
        <f t="shared" si="89"/>
        <v>7.4</v>
      </c>
      <c r="H698" s="60" t="s">
        <v>60</v>
      </c>
    </row>
    <row r="699" spans="1:9" ht="11.85" customHeight="1" thickBot="1" x14ac:dyDescent="0.3">
      <c r="A699" s="584"/>
      <c r="B699" s="278" t="s">
        <v>16</v>
      </c>
      <c r="C699" s="216" t="s">
        <v>508</v>
      </c>
      <c r="D699" s="212" t="s">
        <v>268</v>
      </c>
      <c r="E699" s="311">
        <v>2</v>
      </c>
      <c r="F699" s="309">
        <f>132*1.05</f>
        <v>138.6</v>
      </c>
      <c r="G699" s="312">
        <f t="shared" si="89"/>
        <v>277.2</v>
      </c>
      <c r="H699" s="221">
        <f>F696-H697</f>
        <v>277.2</v>
      </c>
    </row>
    <row r="700" spans="1:9" ht="33.75" customHeight="1" thickBot="1" x14ac:dyDescent="0.3">
      <c r="A700" s="582" t="s">
        <v>201</v>
      </c>
      <c r="B700" s="310" t="s">
        <v>772</v>
      </c>
      <c r="C700" s="199" t="s">
        <v>510</v>
      </c>
      <c r="D700" s="43" t="s">
        <v>268</v>
      </c>
      <c r="E700" s="44">
        <v>1</v>
      </c>
      <c r="F700" s="30">
        <f>SUM(G701:G704)/E700</f>
        <v>278.85000000000002</v>
      </c>
      <c r="G700" s="45">
        <f t="shared" si="89"/>
        <v>278.85000000000002</v>
      </c>
      <c r="H700" s="58" t="s">
        <v>59</v>
      </c>
      <c r="I700" s="482">
        <f>H703+H701</f>
        <v>278.85000000000002</v>
      </c>
    </row>
    <row r="701" spans="1:9" ht="11.85" customHeight="1" x14ac:dyDescent="0.25">
      <c r="A701" s="583"/>
      <c r="B701" s="142">
        <v>2696</v>
      </c>
      <c r="C701" s="137" t="s">
        <v>260</v>
      </c>
      <c r="D701" s="138" t="s">
        <v>257</v>
      </c>
      <c r="E701" s="139">
        <v>0.6</v>
      </c>
      <c r="F701" s="140">
        <v>14.85</v>
      </c>
      <c r="G701" s="198">
        <f t="shared" si="89"/>
        <v>8.91</v>
      </c>
      <c r="H701" s="220">
        <f>(G701+G703)/E700</f>
        <v>15.85</v>
      </c>
    </row>
    <row r="702" spans="1:9" ht="11.85" customHeight="1" x14ac:dyDescent="0.25">
      <c r="A702" s="583"/>
      <c r="B702" s="313">
        <v>3146</v>
      </c>
      <c r="C702" s="314" t="s">
        <v>326</v>
      </c>
      <c r="D702" s="315" t="s">
        <v>268</v>
      </c>
      <c r="E702" s="316">
        <f>1.68/6</f>
        <v>0.28000000000000003</v>
      </c>
      <c r="F702" s="317">
        <v>1.8</v>
      </c>
      <c r="G702" s="318">
        <f t="shared" si="89"/>
        <v>0.5</v>
      </c>
      <c r="H702" s="60" t="s">
        <v>60</v>
      </c>
    </row>
    <row r="703" spans="1:9" ht="11.85" customHeight="1" thickBot="1" x14ac:dyDescent="0.3">
      <c r="A703" s="583"/>
      <c r="B703" s="142">
        <v>6116</v>
      </c>
      <c r="C703" s="137" t="s">
        <v>322</v>
      </c>
      <c r="D703" s="138" t="s">
        <v>257</v>
      </c>
      <c r="E703" s="139">
        <v>0.6</v>
      </c>
      <c r="F703" s="141">
        <v>11.57</v>
      </c>
      <c r="G703" s="198">
        <f t="shared" si="89"/>
        <v>6.94</v>
      </c>
      <c r="H703" s="221">
        <f>F700-H701</f>
        <v>263</v>
      </c>
    </row>
    <row r="704" spans="1:9" ht="11.85" customHeight="1" thickBot="1" x14ac:dyDescent="0.3">
      <c r="A704" s="584"/>
      <c r="B704" s="211" t="s">
        <v>16</v>
      </c>
      <c r="C704" s="216" t="s">
        <v>511</v>
      </c>
      <c r="D704" s="212" t="s">
        <v>268</v>
      </c>
      <c r="E704" s="271">
        <v>1</v>
      </c>
      <c r="F704" s="309">
        <f>250*1.05</f>
        <v>262.5</v>
      </c>
      <c r="G704" s="312">
        <f t="shared" si="89"/>
        <v>262.5</v>
      </c>
      <c r="H704" s="688"/>
    </row>
    <row r="705" spans="1:9" ht="24" customHeight="1" thickBot="1" x14ac:dyDescent="0.3">
      <c r="A705" s="582" t="s">
        <v>202</v>
      </c>
      <c r="B705" s="307">
        <v>40729</v>
      </c>
      <c r="C705" s="27" t="s">
        <v>773</v>
      </c>
      <c r="D705" s="43" t="s">
        <v>268</v>
      </c>
      <c r="E705" s="44">
        <v>1</v>
      </c>
      <c r="F705" s="30">
        <f>SUM(G706:G710)/E705</f>
        <v>158.53</v>
      </c>
      <c r="G705" s="45">
        <f t="shared" si="89"/>
        <v>158.53</v>
      </c>
      <c r="H705" s="58" t="s">
        <v>59</v>
      </c>
      <c r="I705" s="482">
        <v>158.53</v>
      </c>
    </row>
    <row r="706" spans="1:9" ht="11.85" customHeight="1" x14ac:dyDescent="0.25">
      <c r="A706" s="583"/>
      <c r="B706" s="429">
        <v>88267</v>
      </c>
      <c r="C706" s="430" t="s">
        <v>755</v>
      </c>
      <c r="D706" s="739" t="s">
        <v>281</v>
      </c>
      <c r="E706" s="379">
        <f>0.85*E705</f>
        <v>0.85</v>
      </c>
      <c r="F706" s="464">
        <v>17.940000000000001</v>
      </c>
      <c r="G706" s="741">
        <f t="shared" si="89"/>
        <v>15.25</v>
      </c>
      <c r="H706" s="220">
        <f>I705-H708</f>
        <v>25.42</v>
      </c>
    </row>
    <row r="707" spans="1:9" ht="11.85" customHeight="1" x14ac:dyDescent="0.25">
      <c r="A707" s="583"/>
      <c r="B707" s="429">
        <v>88242</v>
      </c>
      <c r="C707" s="430" t="s">
        <v>774</v>
      </c>
      <c r="D707" s="431" t="s">
        <v>257</v>
      </c>
      <c r="E707" s="791">
        <f>0.7*E705</f>
        <v>0.7</v>
      </c>
      <c r="F707" s="497">
        <v>14.53</v>
      </c>
      <c r="G707" s="434">
        <f t="shared" si="89"/>
        <v>10.17</v>
      </c>
      <c r="H707" s="60" t="s">
        <v>60</v>
      </c>
    </row>
    <row r="708" spans="1:9" ht="11.85" customHeight="1" thickBot="1" x14ac:dyDescent="0.3">
      <c r="A708" s="583"/>
      <c r="B708" s="204">
        <v>13</v>
      </c>
      <c r="C708" s="205" t="s">
        <v>775</v>
      </c>
      <c r="D708" s="206" t="s">
        <v>271</v>
      </c>
      <c r="E708" s="241">
        <f>0.12*E705</f>
        <v>0.12</v>
      </c>
      <c r="F708" s="208">
        <v>1.8</v>
      </c>
      <c r="G708" s="319">
        <f t="shared" si="89"/>
        <v>0.22</v>
      </c>
      <c r="H708" s="221">
        <f>G708+G709+G710</f>
        <v>133.11000000000001</v>
      </c>
    </row>
    <row r="709" spans="1:9" ht="19.5" customHeight="1" x14ac:dyDescent="0.25">
      <c r="A709" s="583"/>
      <c r="B709" s="242">
        <v>7307</v>
      </c>
      <c r="C709" s="243" t="s">
        <v>776</v>
      </c>
      <c r="D709" s="244" t="s">
        <v>280</v>
      </c>
      <c r="E709" s="245">
        <f>0.08*E705</f>
        <v>0.08</v>
      </c>
      <c r="F709" s="246">
        <v>17.510000000000002</v>
      </c>
      <c r="G709" s="319">
        <f t="shared" si="89"/>
        <v>1.4</v>
      </c>
      <c r="H709" s="694"/>
    </row>
    <row r="710" spans="1:9" ht="21.75" customHeight="1" thickBot="1" x14ac:dyDescent="0.3">
      <c r="A710" s="584"/>
      <c r="B710" s="211">
        <v>10228</v>
      </c>
      <c r="C710" s="216" t="s">
        <v>777</v>
      </c>
      <c r="D710" s="212" t="s">
        <v>268</v>
      </c>
      <c r="E710" s="271">
        <v>1</v>
      </c>
      <c r="F710" s="309">
        <v>131.49</v>
      </c>
      <c r="G710" s="312">
        <f t="shared" si="89"/>
        <v>131.49</v>
      </c>
      <c r="H710" s="73"/>
    </row>
    <row r="711" spans="1:9" ht="21.75" customHeight="1" thickBot="1" x14ac:dyDescent="0.3">
      <c r="A711" s="582" t="s">
        <v>203</v>
      </c>
      <c r="B711" s="605" t="s">
        <v>555</v>
      </c>
      <c r="C711" s="169" t="s">
        <v>517</v>
      </c>
      <c r="D711" s="43" t="s">
        <v>268</v>
      </c>
      <c r="E711" s="44">
        <v>1</v>
      </c>
      <c r="F711" s="30">
        <f>SUM(G712:G723)/E711</f>
        <v>883.78</v>
      </c>
      <c r="G711" s="45">
        <f>F711*E711</f>
        <v>883.78</v>
      </c>
      <c r="H711" s="688"/>
    </row>
    <row r="712" spans="1:9" ht="15" customHeight="1" thickBot="1" x14ac:dyDescent="0.3">
      <c r="A712" s="583"/>
      <c r="B712" s="621">
        <v>6116</v>
      </c>
      <c r="C712" s="430" t="s">
        <v>322</v>
      </c>
      <c r="D712" s="431" t="s">
        <v>257</v>
      </c>
      <c r="E712" s="432">
        <v>5</v>
      </c>
      <c r="F712" s="433">
        <v>11.57</v>
      </c>
      <c r="G712" s="434">
        <f>F712*E712</f>
        <v>57.85</v>
      </c>
      <c r="H712" s="58" t="s">
        <v>59</v>
      </c>
      <c r="I712" s="482">
        <f>H713+H715</f>
        <v>883.78</v>
      </c>
    </row>
    <row r="713" spans="1:9" ht="15" customHeight="1" x14ac:dyDescent="0.25">
      <c r="A713" s="583"/>
      <c r="B713" s="621">
        <v>4750</v>
      </c>
      <c r="C713" s="430" t="s">
        <v>261</v>
      </c>
      <c r="D713" s="431" t="s">
        <v>257</v>
      </c>
      <c r="E713" s="791">
        <v>4.5</v>
      </c>
      <c r="F713" s="497">
        <v>14.79</v>
      </c>
      <c r="G713" s="434">
        <f>F713*E713</f>
        <v>66.56</v>
      </c>
      <c r="H713" s="59">
        <f>(G712+G713+G714+G715)/E711</f>
        <v>245.87</v>
      </c>
    </row>
    <row r="714" spans="1:9" ht="15" customHeight="1" x14ac:dyDescent="0.25">
      <c r="A714" s="583"/>
      <c r="B714" s="621">
        <v>6111</v>
      </c>
      <c r="C714" s="430" t="s">
        <v>274</v>
      </c>
      <c r="D714" s="431" t="s">
        <v>257</v>
      </c>
      <c r="E714" s="791">
        <v>4.5</v>
      </c>
      <c r="F714" s="497">
        <v>10.49</v>
      </c>
      <c r="G714" s="434">
        <f>F714*E714</f>
        <v>47.21</v>
      </c>
      <c r="H714" s="60" t="s">
        <v>60</v>
      </c>
    </row>
    <row r="715" spans="1:9" ht="15" customHeight="1" thickBot="1" x14ac:dyDescent="0.3">
      <c r="A715" s="583"/>
      <c r="B715" s="621">
        <v>2696</v>
      </c>
      <c r="C715" s="430" t="s">
        <v>260</v>
      </c>
      <c r="D715" s="431" t="s">
        <v>257</v>
      </c>
      <c r="E715" s="432">
        <v>5</v>
      </c>
      <c r="F715" s="464">
        <v>14.85</v>
      </c>
      <c r="G715" s="434">
        <f>F715*E715</f>
        <v>74.25</v>
      </c>
      <c r="H715" s="61">
        <f>F711-H713</f>
        <v>637.91</v>
      </c>
    </row>
    <row r="716" spans="1:9" ht="14.25" customHeight="1" x14ac:dyDescent="0.25">
      <c r="A716" s="583"/>
      <c r="B716" s="291">
        <v>11795</v>
      </c>
      <c r="C716" s="205" t="s">
        <v>516</v>
      </c>
      <c r="D716" s="206" t="s">
        <v>498</v>
      </c>
      <c r="E716" s="241">
        <v>1.6</v>
      </c>
      <c r="F716" s="226">
        <v>246.24</v>
      </c>
      <c r="G716" s="210">
        <f t="shared" ref="G716:G740" si="90">F716*E716</f>
        <v>393.98</v>
      </c>
      <c r="H716" s="688"/>
    </row>
    <row r="717" spans="1:9" ht="12.75" customHeight="1" x14ac:dyDescent="0.25">
      <c r="A717" s="583"/>
      <c r="B717" s="291">
        <v>1743</v>
      </c>
      <c r="C717" s="205" t="s">
        <v>515</v>
      </c>
      <c r="D717" s="206" t="s">
        <v>502</v>
      </c>
      <c r="E717" s="241">
        <v>1</v>
      </c>
      <c r="F717" s="226">
        <v>46.39</v>
      </c>
      <c r="G717" s="210">
        <f t="shared" si="90"/>
        <v>46.39</v>
      </c>
      <c r="H717" s="688"/>
    </row>
    <row r="718" spans="1:9" ht="15" customHeight="1" x14ac:dyDescent="0.25">
      <c r="A718" s="583"/>
      <c r="B718" s="291">
        <v>11760</v>
      </c>
      <c r="C718" s="205" t="s">
        <v>499</v>
      </c>
      <c r="D718" s="206" t="s">
        <v>502</v>
      </c>
      <c r="E718" s="241">
        <v>1</v>
      </c>
      <c r="F718" s="226">
        <v>133.34</v>
      </c>
      <c r="G718" s="210">
        <f t="shared" si="90"/>
        <v>133.34</v>
      </c>
      <c r="H718" s="688"/>
    </row>
    <row r="719" spans="1:9" ht="23.25" customHeight="1" x14ac:dyDescent="0.25">
      <c r="A719" s="583"/>
      <c r="B719" s="291">
        <v>6157</v>
      </c>
      <c r="C719" s="205" t="s">
        <v>500</v>
      </c>
      <c r="D719" s="206" t="s">
        <v>502</v>
      </c>
      <c r="E719" s="241">
        <v>1</v>
      </c>
      <c r="F719" s="226">
        <v>45.51</v>
      </c>
      <c r="G719" s="210">
        <f t="shared" si="90"/>
        <v>45.51</v>
      </c>
      <c r="H719" s="688"/>
    </row>
    <row r="720" spans="1:9" ht="19.5" customHeight="1" x14ac:dyDescent="0.25">
      <c r="A720" s="583"/>
      <c r="B720" s="291">
        <v>6141</v>
      </c>
      <c r="C720" s="205" t="s">
        <v>501</v>
      </c>
      <c r="D720" s="206" t="s">
        <v>502</v>
      </c>
      <c r="E720" s="241">
        <v>1</v>
      </c>
      <c r="F720" s="226">
        <v>2.14</v>
      </c>
      <c r="G720" s="210">
        <f t="shared" si="90"/>
        <v>2.14</v>
      </c>
      <c r="H720" s="688"/>
    </row>
    <row r="721" spans="1:9" ht="15" customHeight="1" x14ac:dyDescent="0.25">
      <c r="A721" s="583"/>
      <c r="B721" s="291">
        <v>3143</v>
      </c>
      <c r="C721" s="205" t="s">
        <v>325</v>
      </c>
      <c r="D721" s="206" t="s">
        <v>502</v>
      </c>
      <c r="E721" s="241">
        <v>1</v>
      </c>
      <c r="F721" s="226">
        <v>4.1500000000000004</v>
      </c>
      <c r="G721" s="210">
        <f t="shared" si="90"/>
        <v>4.1500000000000004</v>
      </c>
      <c r="H721" s="688"/>
    </row>
    <row r="722" spans="1:9" ht="15" customHeight="1" x14ac:dyDescent="0.25">
      <c r="A722" s="583"/>
      <c r="B722" s="291">
        <v>1380</v>
      </c>
      <c r="C722" s="205" t="s">
        <v>495</v>
      </c>
      <c r="D722" s="206" t="s">
        <v>13</v>
      </c>
      <c r="E722" s="241">
        <v>2.6</v>
      </c>
      <c r="F722" s="208">
        <v>2.85</v>
      </c>
      <c r="G722" s="210">
        <f t="shared" si="90"/>
        <v>7.41</v>
      </c>
      <c r="H722" s="688"/>
    </row>
    <row r="723" spans="1:9" ht="27.75" customHeight="1" thickBot="1" x14ac:dyDescent="0.3">
      <c r="A723" s="584"/>
      <c r="B723" s="293">
        <v>87377</v>
      </c>
      <c r="C723" s="216" t="s">
        <v>556</v>
      </c>
      <c r="D723" s="212" t="s">
        <v>33</v>
      </c>
      <c r="E723" s="271">
        <f>0.005/1.2*2.85</f>
        <v>1.1875E-2</v>
      </c>
      <c r="F723" s="214">
        <v>420.22</v>
      </c>
      <c r="G723" s="215">
        <f t="shared" si="90"/>
        <v>4.99</v>
      </c>
      <c r="H723" s="688"/>
    </row>
    <row r="724" spans="1:9" ht="51" customHeight="1" thickBot="1" x14ac:dyDescent="0.3">
      <c r="A724" s="582" t="s">
        <v>193</v>
      </c>
      <c r="B724" s="307">
        <v>86923</v>
      </c>
      <c r="C724" s="27" t="s">
        <v>1272</v>
      </c>
      <c r="D724" s="28" t="s">
        <v>269</v>
      </c>
      <c r="E724" s="134">
        <v>1</v>
      </c>
      <c r="F724" s="30">
        <f>SUM(G725:G739)/E724</f>
        <v>230.27</v>
      </c>
      <c r="G724" s="31">
        <f>SUM(G726:G739)</f>
        <v>230.27</v>
      </c>
      <c r="H724" s="58" t="s">
        <v>59</v>
      </c>
      <c r="I724" s="482">
        <v>230.27</v>
      </c>
    </row>
    <row r="725" spans="1:9" ht="22.5" customHeight="1" x14ac:dyDescent="0.25">
      <c r="A725" s="583"/>
      <c r="B725" s="204">
        <v>86874</v>
      </c>
      <c r="C725" s="205" t="s">
        <v>1079</v>
      </c>
      <c r="D725" s="206" t="s">
        <v>269</v>
      </c>
      <c r="E725" s="241">
        <f>1*E724</f>
        <v>1</v>
      </c>
      <c r="F725" s="208">
        <v>194.88</v>
      </c>
      <c r="G725" s="210"/>
      <c r="H725" s="220">
        <f>I724-H727</f>
        <v>28.43</v>
      </c>
    </row>
    <row r="726" spans="1:9" ht="12" customHeight="1" x14ac:dyDescent="0.25">
      <c r="A726" s="583"/>
      <c r="B726" s="204">
        <v>1380</v>
      </c>
      <c r="C726" s="205" t="s">
        <v>557</v>
      </c>
      <c r="D726" s="206"/>
      <c r="E726" s="241">
        <f>0.065*E725</f>
        <v>6.5000000000000002E-2</v>
      </c>
      <c r="F726" s="208">
        <v>2.85</v>
      </c>
      <c r="G726" s="210">
        <f>F726*E726</f>
        <v>0.19</v>
      </c>
      <c r="H726" s="60" t="s">
        <v>60</v>
      </c>
    </row>
    <row r="727" spans="1:9" ht="12" customHeight="1" thickBot="1" x14ac:dyDescent="0.3">
      <c r="A727" s="583"/>
      <c r="B727" s="204">
        <v>4351</v>
      </c>
      <c r="C727" s="205" t="s">
        <v>558</v>
      </c>
      <c r="D727" s="206"/>
      <c r="E727" s="241">
        <f>4*E725</f>
        <v>4</v>
      </c>
      <c r="F727" s="208">
        <v>2.88</v>
      </c>
      <c r="G727" s="210">
        <f>F727*E727</f>
        <v>11.52</v>
      </c>
      <c r="H727" s="221">
        <f>SUM(G726:G737)</f>
        <v>201.84</v>
      </c>
    </row>
    <row r="728" spans="1:9" ht="12" customHeight="1" x14ac:dyDescent="0.25">
      <c r="A728" s="583"/>
      <c r="B728" s="204">
        <v>10423</v>
      </c>
      <c r="C728" s="205" t="s">
        <v>559</v>
      </c>
      <c r="D728" s="206"/>
      <c r="E728" s="241">
        <f>1*E725</f>
        <v>1</v>
      </c>
      <c r="F728" s="208">
        <v>163.86</v>
      </c>
      <c r="G728" s="210">
        <f>F728*E728</f>
        <v>163.86</v>
      </c>
      <c r="H728" s="688"/>
    </row>
    <row r="729" spans="1:9" ht="22.5" customHeight="1" x14ac:dyDescent="0.25">
      <c r="A729" s="583"/>
      <c r="B729" s="204">
        <v>86879</v>
      </c>
      <c r="C729" s="205" t="s">
        <v>778</v>
      </c>
      <c r="D729" s="206" t="s">
        <v>269</v>
      </c>
      <c r="E729" s="241">
        <f>1*E724</f>
        <v>1</v>
      </c>
      <c r="F729" s="208">
        <v>4.5599999999999996</v>
      </c>
      <c r="G729" s="210"/>
      <c r="H729" s="688"/>
    </row>
    <row r="730" spans="1:9" ht="12" customHeight="1" x14ac:dyDescent="0.25">
      <c r="A730" s="583"/>
      <c r="B730" s="204">
        <v>3146</v>
      </c>
      <c r="C730" s="205" t="s">
        <v>560</v>
      </c>
      <c r="D730" s="206"/>
      <c r="E730" s="241">
        <f>0.04*E729</f>
        <v>0.04</v>
      </c>
      <c r="F730" s="208">
        <v>1.8</v>
      </c>
      <c r="G730" s="210">
        <f t="shared" ref="G730:G739" si="91">F730*E730</f>
        <v>7.0000000000000007E-2</v>
      </c>
      <c r="H730" s="688"/>
    </row>
    <row r="731" spans="1:9" ht="12" customHeight="1" x14ac:dyDescent="0.25">
      <c r="A731" s="583"/>
      <c r="B731" s="204">
        <v>6153</v>
      </c>
      <c r="C731" s="205" t="s">
        <v>561</v>
      </c>
      <c r="D731" s="206"/>
      <c r="E731" s="241">
        <f>1*E729</f>
        <v>1</v>
      </c>
      <c r="F731" s="208">
        <v>1.8</v>
      </c>
      <c r="G731" s="210">
        <f t="shared" si="91"/>
        <v>1.8</v>
      </c>
      <c r="H731" s="688"/>
    </row>
    <row r="732" spans="1:9" ht="23.25" customHeight="1" x14ac:dyDescent="0.25">
      <c r="A732" s="583"/>
      <c r="B732" s="204">
        <v>86882</v>
      </c>
      <c r="C732" s="205" t="s">
        <v>779</v>
      </c>
      <c r="D732" s="206" t="s">
        <v>269</v>
      </c>
      <c r="E732" s="241">
        <f>1*E724</f>
        <v>1</v>
      </c>
      <c r="F732" s="208">
        <v>10.06</v>
      </c>
      <c r="G732" s="210"/>
      <c r="H732" s="688"/>
    </row>
    <row r="733" spans="1:9" ht="12" customHeight="1" x14ac:dyDescent="0.25">
      <c r="A733" s="583"/>
      <c r="B733" s="204">
        <v>3146</v>
      </c>
      <c r="C733" s="205" t="s">
        <v>560</v>
      </c>
      <c r="D733" s="206"/>
      <c r="E733" s="241">
        <f>0.05*E732</f>
        <v>0.05</v>
      </c>
      <c r="F733" s="208">
        <v>1.8</v>
      </c>
      <c r="G733" s="210">
        <f t="shared" si="91"/>
        <v>0.09</v>
      </c>
      <c r="H733" s="688"/>
    </row>
    <row r="734" spans="1:9" ht="12" customHeight="1" x14ac:dyDescent="0.25">
      <c r="A734" s="583"/>
      <c r="B734" s="204">
        <v>6146</v>
      </c>
      <c r="C734" s="205" t="s">
        <v>562</v>
      </c>
      <c r="D734" s="206"/>
      <c r="E734" s="241">
        <f>1*E732</f>
        <v>1</v>
      </c>
      <c r="F734" s="208">
        <v>6.93</v>
      </c>
      <c r="G734" s="210">
        <f t="shared" si="91"/>
        <v>6.93</v>
      </c>
      <c r="H734" s="688"/>
    </row>
    <row r="735" spans="1:9" ht="22.5" customHeight="1" x14ac:dyDescent="0.25">
      <c r="A735" s="583"/>
      <c r="B735" s="204">
        <v>86913</v>
      </c>
      <c r="C735" s="205" t="s">
        <v>780</v>
      </c>
      <c r="D735" s="206" t="s">
        <v>269</v>
      </c>
      <c r="E735" s="241">
        <f>1*E724</f>
        <v>1</v>
      </c>
      <c r="F735" s="208">
        <v>20.75</v>
      </c>
      <c r="G735" s="210"/>
      <c r="H735" s="688"/>
    </row>
    <row r="736" spans="1:9" ht="12" customHeight="1" x14ac:dyDescent="0.25">
      <c r="A736" s="583"/>
      <c r="B736" s="204">
        <v>3146</v>
      </c>
      <c r="C736" s="205" t="s">
        <v>560</v>
      </c>
      <c r="D736" s="206"/>
      <c r="E736" s="241">
        <f>0.0304*E735</f>
        <v>3.04E-2</v>
      </c>
      <c r="F736" s="208">
        <v>1.8</v>
      </c>
      <c r="G736" s="210">
        <f t="shared" si="91"/>
        <v>0.05</v>
      </c>
      <c r="H736" s="688"/>
    </row>
    <row r="737" spans="1:9" ht="12" customHeight="1" x14ac:dyDescent="0.25">
      <c r="A737" s="583"/>
      <c r="B737" s="204">
        <v>7604</v>
      </c>
      <c r="C737" s="205" t="s">
        <v>563</v>
      </c>
      <c r="D737" s="206"/>
      <c r="E737" s="241">
        <f>1*E735</f>
        <v>1</v>
      </c>
      <c r="F737" s="208">
        <v>17.329999999999998</v>
      </c>
      <c r="G737" s="210">
        <f t="shared" si="91"/>
        <v>17.329999999999998</v>
      </c>
      <c r="H737" s="688"/>
    </row>
    <row r="738" spans="1:9" ht="21" customHeight="1" x14ac:dyDescent="0.25">
      <c r="A738" s="583"/>
      <c r="B738" s="429">
        <v>88267</v>
      </c>
      <c r="C738" s="430" t="s">
        <v>755</v>
      </c>
      <c r="D738" s="739" t="s">
        <v>281</v>
      </c>
      <c r="E738" s="432">
        <f>1.2295*E724</f>
        <v>1.2295</v>
      </c>
      <c r="F738" s="433">
        <v>17.940000000000001</v>
      </c>
      <c r="G738" s="434">
        <f t="shared" si="91"/>
        <v>22.06</v>
      </c>
      <c r="H738" s="688"/>
    </row>
    <row r="739" spans="1:9" ht="15" customHeight="1" thickBot="1" x14ac:dyDescent="0.3">
      <c r="A739" s="584"/>
      <c r="B739" s="465">
        <v>88316</v>
      </c>
      <c r="C739" s="466" t="s">
        <v>690</v>
      </c>
      <c r="D739" s="467" t="s">
        <v>257</v>
      </c>
      <c r="E739" s="731">
        <f>0.47*E724</f>
        <v>0.47</v>
      </c>
      <c r="F739" s="729">
        <v>13.56</v>
      </c>
      <c r="G739" s="730">
        <f t="shared" si="91"/>
        <v>6.37</v>
      </c>
      <c r="H739" s="688"/>
    </row>
    <row r="740" spans="1:9" ht="37.5" customHeight="1" thickBot="1" x14ac:dyDescent="0.3">
      <c r="A740" s="582" t="s">
        <v>204</v>
      </c>
      <c r="B740" s="307" t="s">
        <v>564</v>
      </c>
      <c r="C740" s="27" t="s">
        <v>518</v>
      </c>
      <c r="D740" s="28" t="s">
        <v>268</v>
      </c>
      <c r="E740" s="134">
        <v>1</v>
      </c>
      <c r="F740" s="144">
        <f>SUM(G741:G763)/E740</f>
        <v>1122.74</v>
      </c>
      <c r="G740" s="31">
        <f t="shared" si="90"/>
        <v>1122.74</v>
      </c>
      <c r="H740" s="688"/>
    </row>
    <row r="741" spans="1:9" ht="12" customHeight="1" thickBot="1" x14ac:dyDescent="0.3">
      <c r="A741" s="583"/>
      <c r="B741" s="142">
        <v>4750</v>
      </c>
      <c r="C741" s="137" t="s">
        <v>261</v>
      </c>
      <c r="D741" s="138" t="s">
        <v>257</v>
      </c>
      <c r="E741" s="200">
        <v>4.5</v>
      </c>
      <c r="F741" s="201">
        <v>14.79</v>
      </c>
      <c r="G741" s="143">
        <f t="shared" ref="G741:G746" si="92">F741*E741</f>
        <v>66.56</v>
      </c>
      <c r="H741" s="51" t="s">
        <v>8</v>
      </c>
      <c r="I741" s="482">
        <f>H742+H744</f>
        <v>1122.74</v>
      </c>
    </row>
    <row r="742" spans="1:9" ht="12" customHeight="1" x14ac:dyDescent="0.25">
      <c r="A742" s="583"/>
      <c r="B742" s="142">
        <v>6111</v>
      </c>
      <c r="C742" s="137" t="s">
        <v>274</v>
      </c>
      <c r="D742" s="138" t="s">
        <v>257</v>
      </c>
      <c r="E742" s="200">
        <v>4.5</v>
      </c>
      <c r="F742" s="201">
        <v>10.49</v>
      </c>
      <c r="G742" s="143">
        <f t="shared" si="92"/>
        <v>47.21</v>
      </c>
      <c r="H742" s="92">
        <f>(G741+G742+G743+G744)/E740</f>
        <v>212.9</v>
      </c>
    </row>
    <row r="743" spans="1:9" ht="12" customHeight="1" x14ac:dyDescent="0.25">
      <c r="A743" s="583"/>
      <c r="B743" s="142">
        <v>6116</v>
      </c>
      <c r="C743" s="137" t="s">
        <v>322</v>
      </c>
      <c r="D743" s="138" t="s">
        <v>257</v>
      </c>
      <c r="E743" s="139">
        <v>2.15</v>
      </c>
      <c r="F743" s="140">
        <v>11.57</v>
      </c>
      <c r="G743" s="143">
        <f t="shared" si="92"/>
        <v>24.88</v>
      </c>
      <c r="H743" s="93" t="s">
        <v>9</v>
      </c>
    </row>
    <row r="744" spans="1:9" ht="12" customHeight="1" thickBot="1" x14ac:dyDescent="0.3">
      <c r="A744" s="583"/>
      <c r="B744" s="142">
        <v>2696</v>
      </c>
      <c r="C744" s="137" t="s">
        <v>260</v>
      </c>
      <c r="D744" s="138" t="s">
        <v>257</v>
      </c>
      <c r="E744" s="139">
        <v>5</v>
      </c>
      <c r="F744" s="196">
        <v>14.85</v>
      </c>
      <c r="G744" s="143">
        <f t="shared" si="92"/>
        <v>74.25</v>
      </c>
      <c r="H744" s="52">
        <f>F740-H742</f>
        <v>909.84</v>
      </c>
    </row>
    <row r="745" spans="1:9" ht="21.75" customHeight="1" x14ac:dyDescent="0.25">
      <c r="A745" s="583"/>
      <c r="B745" s="204">
        <v>1346</v>
      </c>
      <c r="C745" s="205" t="s">
        <v>519</v>
      </c>
      <c r="D745" s="206" t="s">
        <v>270</v>
      </c>
      <c r="E745" s="241">
        <f>(3.28*0.55+0.8*2*0.55+0.28)</f>
        <v>2.964</v>
      </c>
      <c r="F745" s="308">
        <v>19.71</v>
      </c>
      <c r="G745" s="210">
        <f t="shared" si="92"/>
        <v>58.42</v>
      </c>
      <c r="H745" s="688"/>
    </row>
    <row r="746" spans="1:9" ht="12" customHeight="1" x14ac:dyDescent="0.25">
      <c r="A746" s="583"/>
      <c r="B746" s="204">
        <v>4512</v>
      </c>
      <c r="C746" s="205" t="s">
        <v>288</v>
      </c>
      <c r="D746" s="206" t="s">
        <v>232</v>
      </c>
      <c r="E746" s="241">
        <f>21*0.75</f>
        <v>15.75</v>
      </c>
      <c r="F746" s="208">
        <v>0.83</v>
      </c>
      <c r="G746" s="210">
        <f t="shared" si="92"/>
        <v>13.07</v>
      </c>
      <c r="H746" s="688"/>
    </row>
    <row r="747" spans="1:9" ht="23.25" customHeight="1" x14ac:dyDescent="0.25">
      <c r="A747" s="583"/>
      <c r="B747" s="204">
        <v>4491</v>
      </c>
      <c r="C747" s="205" t="s">
        <v>287</v>
      </c>
      <c r="D747" s="206" t="s">
        <v>232</v>
      </c>
      <c r="E747" s="241">
        <f>0.8*8+2*2</f>
        <v>10.4</v>
      </c>
      <c r="F747" s="208">
        <v>2.61</v>
      </c>
      <c r="G747" s="210">
        <f t="shared" ref="G747:G752" si="93">F747*E747</f>
        <v>27.14</v>
      </c>
      <c r="H747" s="688"/>
    </row>
    <row r="748" spans="1:9" ht="12" customHeight="1" x14ac:dyDescent="0.25">
      <c r="A748" s="583"/>
      <c r="B748" s="204">
        <v>5061</v>
      </c>
      <c r="C748" s="205" t="s">
        <v>277</v>
      </c>
      <c r="D748" s="206" t="s">
        <v>271</v>
      </c>
      <c r="E748" s="241">
        <f>2.96*0.2</f>
        <v>0.59199999999999997</v>
      </c>
      <c r="F748" s="208">
        <v>7.75</v>
      </c>
      <c r="G748" s="210">
        <f t="shared" si="93"/>
        <v>4.59</v>
      </c>
      <c r="H748" s="688"/>
    </row>
    <row r="749" spans="1:9" ht="12" customHeight="1" x14ac:dyDescent="0.25">
      <c r="A749" s="583"/>
      <c r="B749" s="204">
        <v>5066</v>
      </c>
      <c r="C749" s="205" t="s">
        <v>520</v>
      </c>
      <c r="D749" s="206" t="s">
        <v>13</v>
      </c>
      <c r="E749" s="241">
        <v>0.6</v>
      </c>
      <c r="F749" s="308">
        <v>9.68</v>
      </c>
      <c r="G749" s="210">
        <f t="shared" si="93"/>
        <v>5.81</v>
      </c>
      <c r="H749" s="688"/>
    </row>
    <row r="750" spans="1:9" ht="22.5" customHeight="1" x14ac:dyDescent="0.25">
      <c r="A750" s="583"/>
      <c r="B750" s="204">
        <v>7155</v>
      </c>
      <c r="C750" s="205" t="s">
        <v>521</v>
      </c>
      <c r="D750" s="206" t="s">
        <v>270</v>
      </c>
      <c r="E750" s="241">
        <f>3.6*0.55*2</f>
        <v>3.96</v>
      </c>
      <c r="F750" s="308">
        <v>7.84</v>
      </c>
      <c r="G750" s="210">
        <f t="shared" si="93"/>
        <v>31.05</v>
      </c>
      <c r="H750" s="688"/>
    </row>
    <row r="751" spans="1:9" ht="12" customHeight="1" x14ac:dyDescent="0.25">
      <c r="A751" s="583"/>
      <c r="B751" s="204">
        <v>337</v>
      </c>
      <c r="C751" s="205" t="s">
        <v>275</v>
      </c>
      <c r="D751" s="206" t="s">
        <v>271</v>
      </c>
      <c r="E751" s="320">
        <f>0.02*3.96*2.2</f>
        <v>0.17424000000000001</v>
      </c>
      <c r="F751" s="208">
        <v>7</v>
      </c>
      <c r="G751" s="210">
        <f t="shared" si="93"/>
        <v>1.22</v>
      </c>
      <c r="H751" s="695"/>
    </row>
    <row r="752" spans="1:9" ht="12" customHeight="1" x14ac:dyDescent="0.25">
      <c r="A752" s="583"/>
      <c r="B752" s="204">
        <v>1379</v>
      </c>
      <c r="C752" s="205" t="s">
        <v>522</v>
      </c>
      <c r="D752" s="206" t="s">
        <v>13</v>
      </c>
      <c r="E752" s="241">
        <f>0.28*0.55*350</f>
        <v>53.9</v>
      </c>
      <c r="F752" s="308">
        <v>0.49</v>
      </c>
      <c r="G752" s="319">
        <f t="shared" si="93"/>
        <v>26.41</v>
      </c>
      <c r="H752" s="688"/>
    </row>
    <row r="753" spans="1:11" ht="12" customHeight="1" x14ac:dyDescent="0.25">
      <c r="A753" s="583"/>
      <c r="B753" s="204">
        <v>370</v>
      </c>
      <c r="C753" s="205" t="s">
        <v>258</v>
      </c>
      <c r="D753" s="206" t="s">
        <v>272</v>
      </c>
      <c r="E753" s="321">
        <f>0.28*0.55*0.78</f>
        <v>0.12012</v>
      </c>
      <c r="F753" s="208">
        <v>72</v>
      </c>
      <c r="G753" s="210">
        <f>E753*F753</f>
        <v>8.65</v>
      </c>
      <c r="H753" s="688"/>
    </row>
    <row r="754" spans="1:11" ht="12" customHeight="1" x14ac:dyDescent="0.25">
      <c r="A754" s="583"/>
      <c r="B754" s="204">
        <v>4721</v>
      </c>
      <c r="C754" s="205" t="s">
        <v>284</v>
      </c>
      <c r="D754" s="206" t="s">
        <v>272</v>
      </c>
      <c r="E754" s="321">
        <f>0.28*0.55*0.85</f>
        <v>0.13089999999999999</v>
      </c>
      <c r="F754" s="208">
        <v>85.99</v>
      </c>
      <c r="G754" s="210">
        <f>E754*F754</f>
        <v>11.26</v>
      </c>
      <c r="H754" s="688"/>
    </row>
    <row r="755" spans="1:11" ht="12" customHeight="1" x14ac:dyDescent="0.25">
      <c r="A755" s="583"/>
      <c r="B755" s="204">
        <v>2692</v>
      </c>
      <c r="C755" s="205" t="s">
        <v>286</v>
      </c>
      <c r="D755" s="206" t="s">
        <v>280</v>
      </c>
      <c r="E755" s="241">
        <f>0.12*E745</f>
        <v>0.35568</v>
      </c>
      <c r="F755" s="208">
        <v>9.16</v>
      </c>
      <c r="G755" s="210">
        <f t="shared" ref="G755:G764" si="94">F755*E755</f>
        <v>3.26</v>
      </c>
      <c r="H755" s="688"/>
    </row>
    <row r="756" spans="1:11" ht="21.75" customHeight="1" x14ac:dyDescent="0.25">
      <c r="A756" s="583"/>
      <c r="B756" s="204">
        <v>37659</v>
      </c>
      <c r="C756" s="205" t="s">
        <v>444</v>
      </c>
      <c r="D756" s="206" t="s">
        <v>271</v>
      </c>
      <c r="E756" s="241">
        <f>9*3.14</f>
        <v>28.26</v>
      </c>
      <c r="F756" s="208">
        <v>1.03</v>
      </c>
      <c r="G756" s="210">
        <f t="shared" si="94"/>
        <v>29.11</v>
      </c>
      <c r="H756" s="688"/>
    </row>
    <row r="757" spans="1:11" ht="12" customHeight="1" x14ac:dyDescent="0.25">
      <c r="A757" s="583"/>
      <c r="B757" s="204">
        <v>21108</v>
      </c>
      <c r="C757" s="205" t="s">
        <v>442</v>
      </c>
      <c r="D757" s="206" t="s">
        <v>270</v>
      </c>
      <c r="E757" s="241">
        <f>2*0.55+0.28+0.8*4*0.55</f>
        <v>3.14</v>
      </c>
      <c r="F757" s="208">
        <v>72.31</v>
      </c>
      <c r="G757" s="210">
        <f t="shared" si="94"/>
        <v>227.05</v>
      </c>
      <c r="H757" s="688"/>
    </row>
    <row r="758" spans="1:11" ht="12" customHeight="1" x14ac:dyDescent="0.25">
      <c r="A758" s="583"/>
      <c r="B758" s="204">
        <v>34357</v>
      </c>
      <c r="C758" s="205" t="s">
        <v>445</v>
      </c>
      <c r="D758" s="206" t="s">
        <v>271</v>
      </c>
      <c r="E758" s="289">
        <f>0.5*3.14</f>
        <v>1.57</v>
      </c>
      <c r="F758" s="286">
        <v>2.48</v>
      </c>
      <c r="G758" s="210">
        <f t="shared" si="94"/>
        <v>3.89</v>
      </c>
      <c r="H758" s="688"/>
    </row>
    <row r="759" spans="1:11" ht="12" customHeight="1" x14ac:dyDescent="0.25">
      <c r="A759" s="583"/>
      <c r="B759" s="204">
        <v>1743</v>
      </c>
      <c r="C759" s="205" t="s">
        <v>515</v>
      </c>
      <c r="D759" s="206" t="s">
        <v>502</v>
      </c>
      <c r="E759" s="241">
        <v>2</v>
      </c>
      <c r="F759" s="226">
        <v>46.39</v>
      </c>
      <c r="G759" s="210">
        <f t="shared" si="94"/>
        <v>92.78</v>
      </c>
      <c r="H759" s="688"/>
    </row>
    <row r="760" spans="1:11" ht="12" customHeight="1" x14ac:dyDescent="0.25">
      <c r="A760" s="583"/>
      <c r="B760" s="204">
        <v>11760</v>
      </c>
      <c r="C760" s="205" t="s">
        <v>499</v>
      </c>
      <c r="D760" s="206" t="s">
        <v>502</v>
      </c>
      <c r="E760" s="241">
        <v>2</v>
      </c>
      <c r="F760" s="226">
        <v>133.34</v>
      </c>
      <c r="G760" s="210">
        <f t="shared" si="94"/>
        <v>266.68</v>
      </c>
      <c r="H760" s="688"/>
    </row>
    <row r="761" spans="1:11" ht="20.25" customHeight="1" x14ac:dyDescent="0.25">
      <c r="A761" s="583"/>
      <c r="B761" s="204">
        <v>6157</v>
      </c>
      <c r="C761" s="205" t="s">
        <v>500</v>
      </c>
      <c r="D761" s="206" t="s">
        <v>502</v>
      </c>
      <c r="E761" s="241">
        <v>2</v>
      </c>
      <c r="F761" s="226">
        <v>45.51</v>
      </c>
      <c r="G761" s="210">
        <f t="shared" si="94"/>
        <v>91.02</v>
      </c>
      <c r="H761" s="688"/>
    </row>
    <row r="762" spans="1:11" ht="21.75" customHeight="1" x14ac:dyDescent="0.25">
      <c r="A762" s="583"/>
      <c r="B762" s="204">
        <v>6141</v>
      </c>
      <c r="C762" s="205" t="s">
        <v>501</v>
      </c>
      <c r="D762" s="206" t="s">
        <v>502</v>
      </c>
      <c r="E762" s="241">
        <v>2</v>
      </c>
      <c r="F762" s="226">
        <v>2.14</v>
      </c>
      <c r="G762" s="210">
        <f t="shared" si="94"/>
        <v>4.28</v>
      </c>
      <c r="H762" s="688"/>
    </row>
    <row r="763" spans="1:11" ht="12" customHeight="1" thickBot="1" x14ac:dyDescent="0.3">
      <c r="A763" s="584"/>
      <c r="B763" s="211">
        <v>3143</v>
      </c>
      <c r="C763" s="216" t="s">
        <v>325</v>
      </c>
      <c r="D763" s="212" t="s">
        <v>502</v>
      </c>
      <c r="E763" s="271">
        <v>1</v>
      </c>
      <c r="F763" s="282">
        <v>4.1500000000000004</v>
      </c>
      <c r="G763" s="215">
        <f t="shared" si="94"/>
        <v>4.1500000000000004</v>
      </c>
      <c r="H763" s="696"/>
      <c r="J763" s="6"/>
      <c r="K763" s="6"/>
    </row>
    <row r="764" spans="1:11" ht="32.25" customHeight="1" thickBot="1" x14ac:dyDescent="0.3">
      <c r="A764" s="582" t="s">
        <v>205</v>
      </c>
      <c r="B764" s="307" t="s">
        <v>565</v>
      </c>
      <c r="C764" s="27" t="s">
        <v>524</v>
      </c>
      <c r="D764" s="28" t="s">
        <v>268</v>
      </c>
      <c r="E764" s="134">
        <v>1</v>
      </c>
      <c r="F764" s="144">
        <f>SUM(G765:G787)/E764</f>
        <v>1286.3800000000001</v>
      </c>
      <c r="G764" s="31">
        <f t="shared" si="94"/>
        <v>1286.3800000000001</v>
      </c>
      <c r="H764" s="688"/>
      <c r="J764" s="6"/>
      <c r="K764" s="6"/>
    </row>
    <row r="765" spans="1:11" ht="12" customHeight="1" thickBot="1" x14ac:dyDescent="0.3">
      <c r="A765" s="583"/>
      <c r="B765" s="142">
        <v>4750</v>
      </c>
      <c r="C765" s="137" t="s">
        <v>261</v>
      </c>
      <c r="D765" s="138" t="s">
        <v>257</v>
      </c>
      <c r="E765" s="200">
        <v>6</v>
      </c>
      <c r="F765" s="201">
        <v>14.79</v>
      </c>
      <c r="G765" s="143">
        <f>F765*E765</f>
        <v>88.74</v>
      </c>
      <c r="H765" s="51" t="s">
        <v>8</v>
      </c>
      <c r="I765" s="482">
        <f>H766+H768</f>
        <v>1286.3800000000001</v>
      </c>
      <c r="J765" s="6"/>
      <c r="K765" s="6"/>
    </row>
    <row r="766" spans="1:11" ht="12" customHeight="1" x14ac:dyDescent="0.25">
      <c r="A766" s="583"/>
      <c r="B766" s="142">
        <v>6111</v>
      </c>
      <c r="C766" s="137" t="s">
        <v>274</v>
      </c>
      <c r="D766" s="138" t="s">
        <v>257</v>
      </c>
      <c r="E766" s="200">
        <v>6</v>
      </c>
      <c r="F766" s="201">
        <v>10.49</v>
      </c>
      <c r="G766" s="143">
        <f>F766*E766</f>
        <v>62.94</v>
      </c>
      <c r="H766" s="92">
        <f>(G765+G766+G767+G768)/E764</f>
        <v>275.49</v>
      </c>
      <c r="J766" s="6"/>
      <c r="K766" s="6"/>
    </row>
    <row r="767" spans="1:11" ht="12" customHeight="1" x14ac:dyDescent="0.25">
      <c r="A767" s="583"/>
      <c r="B767" s="142">
        <v>6116</v>
      </c>
      <c r="C767" s="137" t="s">
        <v>322</v>
      </c>
      <c r="D767" s="138" t="s">
        <v>257</v>
      </c>
      <c r="E767" s="139">
        <v>3</v>
      </c>
      <c r="F767" s="140">
        <v>11.57</v>
      </c>
      <c r="G767" s="143">
        <f>F767*E767</f>
        <v>34.71</v>
      </c>
      <c r="H767" s="93" t="s">
        <v>9</v>
      </c>
      <c r="J767" s="6"/>
      <c r="K767" s="6"/>
    </row>
    <row r="768" spans="1:11" ht="12" customHeight="1" thickBot="1" x14ac:dyDescent="0.3">
      <c r="A768" s="583"/>
      <c r="B768" s="142">
        <v>2696</v>
      </c>
      <c r="C768" s="137" t="s">
        <v>260</v>
      </c>
      <c r="D768" s="138" t="s">
        <v>257</v>
      </c>
      <c r="E768" s="139">
        <v>6</v>
      </c>
      <c r="F768" s="196">
        <v>14.85</v>
      </c>
      <c r="G768" s="143">
        <f>F768*E768</f>
        <v>89.1</v>
      </c>
      <c r="H768" s="52">
        <f>F764-H766</f>
        <v>1010.89</v>
      </c>
      <c r="J768" s="6"/>
      <c r="K768" s="6"/>
    </row>
    <row r="769" spans="1:11" ht="24" customHeight="1" x14ac:dyDescent="0.25">
      <c r="A769" s="583"/>
      <c r="B769" s="204">
        <v>1346</v>
      </c>
      <c r="C769" s="205" t="s">
        <v>519</v>
      </c>
      <c r="D769" s="206" t="s">
        <v>270</v>
      </c>
      <c r="E769" s="241">
        <f>((3.28+0.65)*0.6+0.8*2*0.6+0.33)</f>
        <v>3.6480000000000001</v>
      </c>
      <c r="F769" s="308">
        <v>19.71</v>
      </c>
      <c r="G769" s="210">
        <f>F769*E769</f>
        <v>71.900000000000006</v>
      </c>
      <c r="H769" s="688"/>
      <c r="J769" s="6"/>
      <c r="K769" s="6"/>
    </row>
    <row r="770" spans="1:11" ht="12" customHeight="1" x14ac:dyDescent="0.25">
      <c r="A770" s="583"/>
      <c r="B770" s="204">
        <v>4512</v>
      </c>
      <c r="C770" s="205" t="s">
        <v>288</v>
      </c>
      <c r="D770" s="206" t="s">
        <v>232</v>
      </c>
      <c r="E770" s="241">
        <f>23*0.8</f>
        <v>18.399999999999999</v>
      </c>
      <c r="F770" s="208">
        <v>0.83</v>
      </c>
      <c r="G770" s="210">
        <f t="shared" ref="G770:G776" si="95">F770*E770</f>
        <v>15.27</v>
      </c>
      <c r="H770" s="688"/>
      <c r="J770" s="6"/>
      <c r="K770" s="6"/>
    </row>
    <row r="771" spans="1:11" ht="21" customHeight="1" x14ac:dyDescent="0.25">
      <c r="A771" s="583"/>
      <c r="B771" s="204">
        <v>4491</v>
      </c>
      <c r="C771" s="205" t="s">
        <v>287</v>
      </c>
      <c r="D771" s="206" t="s">
        <v>232</v>
      </c>
      <c r="E771" s="241">
        <f>0.9*8+2*2</f>
        <v>11.2</v>
      </c>
      <c r="F771" s="208">
        <v>2.61</v>
      </c>
      <c r="G771" s="210">
        <f t="shared" si="95"/>
        <v>29.23</v>
      </c>
      <c r="H771" s="688"/>
      <c r="J771" s="6"/>
      <c r="K771" s="6"/>
    </row>
    <row r="772" spans="1:11" ht="12" customHeight="1" x14ac:dyDescent="0.25">
      <c r="A772" s="583"/>
      <c r="B772" s="204">
        <v>5061</v>
      </c>
      <c r="C772" s="205" t="s">
        <v>277</v>
      </c>
      <c r="D772" s="206" t="s">
        <v>271</v>
      </c>
      <c r="E772" s="241">
        <f>3.65*0.2</f>
        <v>0.73</v>
      </c>
      <c r="F772" s="208">
        <v>7.75</v>
      </c>
      <c r="G772" s="210">
        <f t="shared" si="95"/>
        <v>5.66</v>
      </c>
      <c r="H772" s="688"/>
      <c r="J772" s="6"/>
      <c r="K772" s="6"/>
    </row>
    <row r="773" spans="1:11" ht="12" customHeight="1" x14ac:dyDescent="0.25">
      <c r="A773" s="583"/>
      <c r="B773" s="204">
        <v>5066</v>
      </c>
      <c r="C773" s="205" t="s">
        <v>520</v>
      </c>
      <c r="D773" s="206" t="s">
        <v>13</v>
      </c>
      <c r="E773" s="241">
        <v>0.7</v>
      </c>
      <c r="F773" s="308">
        <v>9.68</v>
      </c>
      <c r="G773" s="210">
        <f t="shared" si="95"/>
        <v>6.78</v>
      </c>
      <c r="H773" s="688"/>
      <c r="J773" s="6"/>
      <c r="K773" s="6"/>
    </row>
    <row r="774" spans="1:11" ht="21.75" customHeight="1" x14ac:dyDescent="0.25">
      <c r="A774" s="583"/>
      <c r="B774" s="204">
        <v>7155</v>
      </c>
      <c r="C774" s="205" t="s">
        <v>521</v>
      </c>
      <c r="D774" s="206" t="s">
        <v>270</v>
      </c>
      <c r="E774" s="241">
        <f>4.25*0.6*2</f>
        <v>5.0999999999999996</v>
      </c>
      <c r="F774" s="308">
        <v>7.84</v>
      </c>
      <c r="G774" s="210">
        <f t="shared" si="95"/>
        <v>39.979999999999997</v>
      </c>
      <c r="H774" s="688"/>
      <c r="J774" s="6"/>
      <c r="K774" s="6"/>
    </row>
    <row r="775" spans="1:11" ht="12" customHeight="1" x14ac:dyDescent="0.25">
      <c r="A775" s="583"/>
      <c r="B775" s="204">
        <v>337</v>
      </c>
      <c r="C775" s="205" t="s">
        <v>275</v>
      </c>
      <c r="D775" s="206" t="s">
        <v>271</v>
      </c>
      <c r="E775" s="320">
        <f>0.02*5.1*2.2</f>
        <v>0.22439999999999999</v>
      </c>
      <c r="F775" s="208">
        <v>7</v>
      </c>
      <c r="G775" s="210">
        <f t="shared" si="95"/>
        <v>1.57</v>
      </c>
      <c r="H775" s="695"/>
      <c r="J775" s="6"/>
      <c r="K775" s="6"/>
    </row>
    <row r="776" spans="1:11" ht="12" customHeight="1" x14ac:dyDescent="0.25">
      <c r="A776" s="583"/>
      <c r="B776" s="204">
        <v>1379</v>
      </c>
      <c r="C776" s="205" t="s">
        <v>522</v>
      </c>
      <c r="D776" s="206" t="s">
        <v>13</v>
      </c>
      <c r="E776" s="241">
        <v>69.3</v>
      </c>
      <c r="F776" s="308">
        <v>0.49</v>
      </c>
      <c r="G776" s="319">
        <f t="shared" si="95"/>
        <v>33.96</v>
      </c>
      <c r="H776" s="688"/>
      <c r="J776" s="6"/>
      <c r="K776" s="6"/>
    </row>
    <row r="777" spans="1:11" ht="12" customHeight="1" x14ac:dyDescent="0.25">
      <c r="A777" s="583"/>
      <c r="B777" s="204">
        <v>370</v>
      </c>
      <c r="C777" s="205" t="s">
        <v>258</v>
      </c>
      <c r="D777" s="206" t="s">
        <v>272</v>
      </c>
      <c r="E777" s="321">
        <f>0.33*0.6*0.78</f>
        <v>0.15443999999999999</v>
      </c>
      <c r="F777" s="208">
        <v>72</v>
      </c>
      <c r="G777" s="210">
        <f>E777*F777</f>
        <v>11.12</v>
      </c>
      <c r="H777" s="688"/>
      <c r="J777" s="6"/>
      <c r="K777" s="6"/>
    </row>
    <row r="778" spans="1:11" ht="12" customHeight="1" x14ac:dyDescent="0.25">
      <c r="A778" s="583"/>
      <c r="B778" s="204">
        <v>4721</v>
      </c>
      <c r="C778" s="205" t="s">
        <v>284</v>
      </c>
      <c r="D778" s="206" t="s">
        <v>272</v>
      </c>
      <c r="E778" s="321">
        <f>0.33*0.6*0.85</f>
        <v>0.16830000000000001</v>
      </c>
      <c r="F778" s="208">
        <v>85.99</v>
      </c>
      <c r="G778" s="210">
        <f>E778*F778</f>
        <v>14.47</v>
      </c>
      <c r="H778" s="688"/>
      <c r="J778" s="6"/>
      <c r="K778" s="6"/>
    </row>
    <row r="779" spans="1:11" ht="12" customHeight="1" x14ac:dyDescent="0.25">
      <c r="A779" s="583"/>
      <c r="B779" s="204">
        <v>2692</v>
      </c>
      <c r="C779" s="205" t="s">
        <v>286</v>
      </c>
      <c r="D779" s="206" t="s">
        <v>280</v>
      </c>
      <c r="E779" s="241">
        <f>0.12*E769</f>
        <v>0.43775999999999998</v>
      </c>
      <c r="F779" s="208">
        <v>9.16</v>
      </c>
      <c r="G779" s="210">
        <f t="shared" ref="G779:G788" si="96">F779*E779</f>
        <v>4.01</v>
      </c>
      <c r="H779" s="688"/>
      <c r="J779" s="6"/>
      <c r="K779" s="6"/>
    </row>
    <row r="780" spans="1:11" ht="24" customHeight="1" x14ac:dyDescent="0.25">
      <c r="A780" s="583"/>
      <c r="B780" s="204">
        <v>37659</v>
      </c>
      <c r="C780" s="205" t="s">
        <v>444</v>
      </c>
      <c r="D780" s="206" t="s">
        <v>271</v>
      </c>
      <c r="E780" s="241">
        <f>9*3.84</f>
        <v>34.56</v>
      </c>
      <c r="F780" s="208">
        <v>1.03</v>
      </c>
      <c r="G780" s="210">
        <f t="shared" si="96"/>
        <v>35.6</v>
      </c>
      <c r="H780" s="688"/>
      <c r="J780" s="6"/>
      <c r="K780" s="6"/>
    </row>
    <row r="781" spans="1:11" ht="12" customHeight="1" x14ac:dyDescent="0.25">
      <c r="A781" s="583"/>
      <c r="B781" s="204">
        <v>21108</v>
      </c>
      <c r="C781" s="205" t="s">
        <v>523</v>
      </c>
      <c r="D781" s="206" t="s">
        <v>270</v>
      </c>
      <c r="E781" s="241">
        <f>2.65*0.6+0.33+0.8*4*0.6</f>
        <v>3.84</v>
      </c>
      <c r="F781" s="208">
        <v>72.31</v>
      </c>
      <c r="G781" s="210">
        <f t="shared" si="96"/>
        <v>277.67</v>
      </c>
      <c r="H781" s="688"/>
      <c r="J781" s="6"/>
      <c r="K781" s="6"/>
    </row>
    <row r="782" spans="1:11" ht="12" customHeight="1" x14ac:dyDescent="0.25">
      <c r="A782" s="583"/>
      <c r="B782" s="204">
        <v>34357</v>
      </c>
      <c r="C782" s="205" t="s">
        <v>445</v>
      </c>
      <c r="D782" s="206" t="s">
        <v>271</v>
      </c>
      <c r="E782" s="289">
        <f>0.5*3.84</f>
        <v>1.92</v>
      </c>
      <c r="F782" s="286">
        <v>2.48</v>
      </c>
      <c r="G782" s="210">
        <f t="shared" si="96"/>
        <v>4.76</v>
      </c>
      <c r="H782" s="688"/>
      <c r="J782" s="6"/>
      <c r="K782" s="6"/>
    </row>
    <row r="783" spans="1:11" ht="12" customHeight="1" x14ac:dyDescent="0.25">
      <c r="A783" s="583"/>
      <c r="B783" s="204">
        <v>1743</v>
      </c>
      <c r="C783" s="205" t="s">
        <v>515</v>
      </c>
      <c r="D783" s="206" t="s">
        <v>502</v>
      </c>
      <c r="E783" s="241">
        <v>2</v>
      </c>
      <c r="F783" s="226">
        <v>46.39</v>
      </c>
      <c r="G783" s="210">
        <f t="shared" si="96"/>
        <v>92.78</v>
      </c>
      <c r="H783" s="688"/>
      <c r="J783" s="6"/>
      <c r="K783" s="6"/>
    </row>
    <row r="784" spans="1:11" ht="12" customHeight="1" x14ac:dyDescent="0.25">
      <c r="A784" s="583"/>
      <c r="B784" s="204">
        <v>11760</v>
      </c>
      <c r="C784" s="205" t="s">
        <v>499</v>
      </c>
      <c r="D784" s="206" t="s">
        <v>502</v>
      </c>
      <c r="E784" s="241">
        <v>2</v>
      </c>
      <c r="F784" s="226">
        <v>133.34</v>
      </c>
      <c r="G784" s="210">
        <f t="shared" si="96"/>
        <v>266.68</v>
      </c>
      <c r="H784" s="688"/>
      <c r="J784" s="6"/>
      <c r="K784" s="6"/>
    </row>
    <row r="785" spans="1:11" ht="25.5" customHeight="1" x14ac:dyDescent="0.25">
      <c r="A785" s="583"/>
      <c r="B785" s="204">
        <v>6157</v>
      </c>
      <c r="C785" s="205" t="s">
        <v>500</v>
      </c>
      <c r="D785" s="206" t="s">
        <v>502</v>
      </c>
      <c r="E785" s="241">
        <v>2</v>
      </c>
      <c r="F785" s="226">
        <v>45.51</v>
      </c>
      <c r="G785" s="210">
        <f t="shared" si="96"/>
        <v>91.02</v>
      </c>
      <c r="H785" s="688"/>
      <c r="J785" s="6"/>
      <c r="K785" s="6"/>
    </row>
    <row r="786" spans="1:11" ht="22.5" customHeight="1" x14ac:dyDescent="0.25">
      <c r="A786" s="583"/>
      <c r="B786" s="204">
        <v>6141</v>
      </c>
      <c r="C786" s="205" t="s">
        <v>781</v>
      </c>
      <c r="D786" s="206" t="s">
        <v>502</v>
      </c>
      <c r="E786" s="241">
        <v>2</v>
      </c>
      <c r="F786" s="226">
        <v>2.14</v>
      </c>
      <c r="G786" s="210">
        <f t="shared" si="96"/>
        <v>4.28</v>
      </c>
      <c r="H786" s="688"/>
      <c r="J786" s="6"/>
      <c r="K786" s="6"/>
    </row>
    <row r="787" spans="1:11" ht="12" customHeight="1" thickBot="1" x14ac:dyDescent="0.3">
      <c r="A787" s="584"/>
      <c r="B787" s="211">
        <v>3143</v>
      </c>
      <c r="C787" s="216" t="s">
        <v>325</v>
      </c>
      <c r="D787" s="212" t="s">
        <v>502</v>
      </c>
      <c r="E787" s="271">
        <v>1</v>
      </c>
      <c r="F787" s="282">
        <v>4.1500000000000004</v>
      </c>
      <c r="G787" s="215">
        <f t="shared" si="96"/>
        <v>4.1500000000000004</v>
      </c>
      <c r="H787" s="696"/>
      <c r="J787" s="6"/>
      <c r="K787" s="6"/>
    </row>
    <row r="788" spans="1:11" ht="34.5" customHeight="1" thickBot="1" x14ac:dyDescent="0.3">
      <c r="A788" s="582" t="s">
        <v>206</v>
      </c>
      <c r="B788" s="307" t="s">
        <v>782</v>
      </c>
      <c r="C788" s="27" t="s">
        <v>525</v>
      </c>
      <c r="D788" s="28" t="s">
        <v>268</v>
      </c>
      <c r="E788" s="134">
        <v>1</v>
      </c>
      <c r="F788" s="144">
        <f>SUM(G789:G811)/E788</f>
        <v>2243.4899999999998</v>
      </c>
      <c r="G788" s="31">
        <f t="shared" si="96"/>
        <v>2243.4899999999998</v>
      </c>
      <c r="H788" s="688"/>
      <c r="J788" s="6"/>
      <c r="K788" s="6"/>
    </row>
    <row r="789" spans="1:11" ht="12" customHeight="1" thickBot="1" x14ac:dyDescent="0.3">
      <c r="A789" s="583"/>
      <c r="B789" s="142">
        <v>4750</v>
      </c>
      <c r="C789" s="137" t="s">
        <v>261</v>
      </c>
      <c r="D789" s="138" t="s">
        <v>257</v>
      </c>
      <c r="E789" s="200">
        <v>8</v>
      </c>
      <c r="F789" s="201">
        <v>14.79</v>
      </c>
      <c r="G789" s="143">
        <f>F789*E789</f>
        <v>118.32</v>
      </c>
      <c r="H789" s="51" t="s">
        <v>8</v>
      </c>
      <c r="I789" s="482">
        <f>H790+H792</f>
        <v>2243.4899999999998</v>
      </c>
      <c r="J789" s="6"/>
      <c r="K789" s="6"/>
    </row>
    <row r="790" spans="1:11" ht="12" customHeight="1" x14ac:dyDescent="0.25">
      <c r="A790" s="583"/>
      <c r="B790" s="142">
        <v>6111</v>
      </c>
      <c r="C790" s="137" t="s">
        <v>274</v>
      </c>
      <c r="D790" s="138" t="s">
        <v>257</v>
      </c>
      <c r="E790" s="200">
        <v>8</v>
      </c>
      <c r="F790" s="201">
        <v>10.49</v>
      </c>
      <c r="G790" s="143">
        <f>F790*E790</f>
        <v>83.92</v>
      </c>
      <c r="H790" s="92">
        <f>(G789+G790+G791+G792)/E788</f>
        <v>367.32</v>
      </c>
      <c r="J790" s="6"/>
      <c r="K790" s="6"/>
    </row>
    <row r="791" spans="1:11" ht="12" customHeight="1" x14ac:dyDescent="0.25">
      <c r="A791" s="583"/>
      <c r="B791" s="142">
        <v>6116</v>
      </c>
      <c r="C791" s="137" t="s">
        <v>322</v>
      </c>
      <c r="D791" s="138" t="s">
        <v>257</v>
      </c>
      <c r="E791" s="139">
        <v>4</v>
      </c>
      <c r="F791" s="140">
        <v>11.57</v>
      </c>
      <c r="G791" s="143">
        <f>F791*E791</f>
        <v>46.28</v>
      </c>
      <c r="H791" s="93" t="s">
        <v>9</v>
      </c>
      <c r="J791" s="6"/>
      <c r="K791" s="6"/>
    </row>
    <row r="792" spans="1:11" ht="12" customHeight="1" thickBot="1" x14ac:dyDescent="0.3">
      <c r="A792" s="583"/>
      <c r="B792" s="142">
        <v>2696</v>
      </c>
      <c r="C792" s="137" t="s">
        <v>260</v>
      </c>
      <c r="D792" s="138" t="s">
        <v>257</v>
      </c>
      <c r="E792" s="139">
        <v>8</v>
      </c>
      <c r="F792" s="196">
        <v>14.85</v>
      </c>
      <c r="G792" s="143">
        <f>F792*E792</f>
        <v>118.8</v>
      </c>
      <c r="H792" s="52">
        <f>F788-H790</f>
        <v>1876.17</v>
      </c>
      <c r="J792" s="6"/>
      <c r="K792" s="6"/>
    </row>
    <row r="793" spans="1:11" ht="22.5" customHeight="1" x14ac:dyDescent="0.25">
      <c r="A793" s="583"/>
      <c r="B793" s="204">
        <v>1346</v>
      </c>
      <c r="C793" s="205" t="s">
        <v>519</v>
      </c>
      <c r="D793" s="206" t="s">
        <v>270</v>
      </c>
      <c r="E793" s="241">
        <f>3.12*2*0.6+3.6*0.6+0.8*2*0.6+0.46*2</f>
        <v>7.7839999999999998</v>
      </c>
      <c r="F793" s="308">
        <v>19.71</v>
      </c>
      <c r="G793" s="210">
        <f>F793*E793</f>
        <v>153.41999999999999</v>
      </c>
      <c r="H793" s="688"/>
      <c r="J793" s="6"/>
      <c r="K793" s="6"/>
    </row>
    <row r="794" spans="1:11" ht="12" customHeight="1" x14ac:dyDescent="0.25">
      <c r="A794" s="583"/>
      <c r="B794" s="204">
        <v>4512</v>
      </c>
      <c r="C794" s="205" t="s">
        <v>288</v>
      </c>
      <c r="D794" s="206" t="s">
        <v>232</v>
      </c>
      <c r="E794" s="241">
        <f>32*0.8</f>
        <v>25.6</v>
      </c>
      <c r="F794" s="208">
        <v>0.83</v>
      </c>
      <c r="G794" s="210">
        <f t="shared" ref="G794:G800" si="97">F794*E794</f>
        <v>21.25</v>
      </c>
      <c r="H794" s="688"/>
      <c r="J794" s="6"/>
      <c r="K794" s="6"/>
    </row>
    <row r="795" spans="1:11" ht="16.5" customHeight="1" x14ac:dyDescent="0.25">
      <c r="A795" s="583"/>
      <c r="B795" s="204">
        <v>4491</v>
      </c>
      <c r="C795" s="205" t="s">
        <v>287</v>
      </c>
      <c r="D795" s="206" t="s">
        <v>232</v>
      </c>
      <c r="E795" s="241">
        <f>0.9*16+4*2</f>
        <v>22.4</v>
      </c>
      <c r="F795" s="208">
        <v>2.61</v>
      </c>
      <c r="G795" s="210">
        <f t="shared" si="97"/>
        <v>58.46</v>
      </c>
      <c r="H795" s="688"/>
      <c r="J795" s="6"/>
      <c r="K795" s="6"/>
    </row>
    <row r="796" spans="1:11" ht="12" customHeight="1" x14ac:dyDescent="0.25">
      <c r="A796" s="583"/>
      <c r="B796" s="204">
        <v>5061</v>
      </c>
      <c r="C796" s="205" t="s">
        <v>277</v>
      </c>
      <c r="D796" s="206" t="s">
        <v>271</v>
      </c>
      <c r="E796" s="241">
        <f>E793*0.2</f>
        <v>1.5568</v>
      </c>
      <c r="F796" s="208">
        <v>7.75</v>
      </c>
      <c r="G796" s="210">
        <f t="shared" si="97"/>
        <v>12.07</v>
      </c>
      <c r="H796" s="688"/>
      <c r="J796" s="6"/>
      <c r="K796" s="6"/>
    </row>
    <row r="797" spans="1:11" ht="12" customHeight="1" x14ac:dyDescent="0.25">
      <c r="A797" s="583"/>
      <c r="B797" s="204">
        <v>5066</v>
      </c>
      <c r="C797" s="205" t="s">
        <v>520</v>
      </c>
      <c r="D797" s="206" t="s">
        <v>13</v>
      </c>
      <c r="E797" s="241">
        <f>1.2</f>
        <v>1.2</v>
      </c>
      <c r="F797" s="308">
        <v>9.68</v>
      </c>
      <c r="G797" s="210">
        <f t="shared" si="97"/>
        <v>11.62</v>
      </c>
      <c r="H797" s="688"/>
      <c r="J797" s="6"/>
      <c r="K797" s="6"/>
    </row>
    <row r="798" spans="1:11" ht="24.75" customHeight="1" x14ac:dyDescent="0.25">
      <c r="A798" s="583"/>
      <c r="B798" s="204">
        <v>7155</v>
      </c>
      <c r="C798" s="205" t="s">
        <v>521</v>
      </c>
      <c r="D798" s="206" t="s">
        <v>270</v>
      </c>
      <c r="E798" s="241">
        <f>(5.12+2*3.2)*0.6</f>
        <v>6.9119999999999999</v>
      </c>
      <c r="F798" s="308">
        <v>7.84</v>
      </c>
      <c r="G798" s="210">
        <f t="shared" si="97"/>
        <v>54.19</v>
      </c>
      <c r="H798" s="688"/>
      <c r="J798" s="6"/>
      <c r="K798" s="6"/>
    </row>
    <row r="799" spans="1:11" ht="12" customHeight="1" x14ac:dyDescent="0.25">
      <c r="A799" s="583"/>
      <c r="B799" s="204">
        <v>337</v>
      </c>
      <c r="C799" s="205" t="s">
        <v>275</v>
      </c>
      <c r="D799" s="206" t="s">
        <v>271</v>
      </c>
      <c r="E799" s="320">
        <f>0.02*E798*2.2</f>
        <v>0.30412800000000001</v>
      </c>
      <c r="F799" s="208">
        <v>7</v>
      </c>
      <c r="G799" s="210">
        <f t="shared" si="97"/>
        <v>2.13</v>
      </c>
      <c r="H799" s="695">
        <f>909.84/959.77</f>
        <v>0.95</v>
      </c>
      <c r="I799" s="11">
        <f>275.49/269.76</f>
        <v>1.02</v>
      </c>
      <c r="J799" s="6"/>
      <c r="K799" s="6"/>
    </row>
    <row r="800" spans="1:11" ht="12" customHeight="1" x14ac:dyDescent="0.25">
      <c r="A800" s="583"/>
      <c r="B800" s="204">
        <v>1379</v>
      </c>
      <c r="C800" s="205" t="s">
        <v>522</v>
      </c>
      <c r="D800" s="206" t="s">
        <v>13</v>
      </c>
      <c r="E800" s="241">
        <f>0.46*0.6*350</f>
        <v>96.6</v>
      </c>
      <c r="F800" s="308">
        <v>0.49</v>
      </c>
      <c r="G800" s="319">
        <f t="shared" si="97"/>
        <v>47.33</v>
      </c>
      <c r="H800" s="688">
        <f>1010.89/1074.01</f>
        <v>0.94</v>
      </c>
      <c r="I800" s="11">
        <f>367.32/359.68</f>
        <v>1.02</v>
      </c>
      <c r="J800" s="6"/>
      <c r="K800" s="6"/>
    </row>
    <row r="801" spans="1:11" ht="12" customHeight="1" x14ac:dyDescent="0.25">
      <c r="A801" s="583"/>
      <c r="B801" s="204">
        <v>370</v>
      </c>
      <c r="C801" s="205" t="s">
        <v>258</v>
      </c>
      <c r="D801" s="206" t="s">
        <v>272</v>
      </c>
      <c r="E801" s="321">
        <f>0.46*0.75</f>
        <v>0.34499999999999997</v>
      </c>
      <c r="F801" s="208">
        <v>72</v>
      </c>
      <c r="G801" s="210">
        <f>E801*F801</f>
        <v>24.84</v>
      </c>
      <c r="H801" s="688"/>
      <c r="I801" s="11">
        <f>637.91/629.73</f>
        <v>1.01</v>
      </c>
      <c r="J801" s="6"/>
      <c r="K801" s="6"/>
    </row>
    <row r="802" spans="1:11" ht="12" customHeight="1" x14ac:dyDescent="0.25">
      <c r="A802" s="583"/>
      <c r="B802" s="204">
        <v>4721</v>
      </c>
      <c r="C802" s="205" t="s">
        <v>284</v>
      </c>
      <c r="D802" s="206" t="s">
        <v>272</v>
      </c>
      <c r="E802" s="321">
        <f>0.46*0.85</f>
        <v>0.39100000000000001</v>
      </c>
      <c r="F802" s="208">
        <v>85.99</v>
      </c>
      <c r="G802" s="210">
        <f>E802*F802</f>
        <v>33.619999999999997</v>
      </c>
      <c r="H802" s="688"/>
      <c r="J802" s="6"/>
      <c r="K802" s="6"/>
    </row>
    <row r="803" spans="1:11" ht="12" customHeight="1" x14ac:dyDescent="0.25">
      <c r="A803" s="583"/>
      <c r="B803" s="204">
        <v>2692</v>
      </c>
      <c r="C803" s="205" t="s">
        <v>286</v>
      </c>
      <c r="D803" s="206" t="s">
        <v>280</v>
      </c>
      <c r="E803" s="241">
        <f>0.12*E793</f>
        <v>0.93408000000000002</v>
      </c>
      <c r="F803" s="208">
        <v>9.16</v>
      </c>
      <c r="G803" s="210">
        <f t="shared" ref="G803:G815" si="98">F803*E803</f>
        <v>8.56</v>
      </c>
      <c r="H803" s="688"/>
      <c r="J803" s="6"/>
      <c r="K803" s="6"/>
    </row>
    <row r="804" spans="1:11" ht="23.25" customHeight="1" x14ac:dyDescent="0.25">
      <c r="A804" s="583"/>
      <c r="B804" s="204">
        <v>37659</v>
      </c>
      <c r="C804" s="205" t="s">
        <v>444</v>
      </c>
      <c r="D804" s="206" t="s">
        <v>271</v>
      </c>
      <c r="E804" s="241">
        <f>9*E805</f>
        <v>58.14</v>
      </c>
      <c r="F804" s="208">
        <v>1.03</v>
      </c>
      <c r="G804" s="210">
        <f t="shared" si="98"/>
        <v>59.88</v>
      </c>
      <c r="H804" s="688"/>
      <c r="J804" s="6"/>
      <c r="K804" s="6"/>
    </row>
    <row r="805" spans="1:11" ht="16.5" hidden="1" customHeight="1" x14ac:dyDescent="0.25">
      <c r="A805" s="583"/>
      <c r="B805" s="204">
        <v>12</v>
      </c>
      <c r="C805" s="205" t="s">
        <v>523</v>
      </c>
      <c r="D805" s="206" t="s">
        <v>270</v>
      </c>
      <c r="E805" s="241">
        <f>((5.2+0.8*6)*0.6+0.46)</f>
        <v>6.46</v>
      </c>
      <c r="F805" s="208">
        <v>72.31</v>
      </c>
      <c r="G805" s="210">
        <f t="shared" si="98"/>
        <v>467.12</v>
      </c>
      <c r="H805" s="688"/>
      <c r="J805" s="6"/>
      <c r="K805" s="6"/>
    </row>
    <row r="806" spans="1:11" ht="16.5" hidden="1" customHeight="1" x14ac:dyDescent="0.25">
      <c r="A806" s="583"/>
      <c r="B806" s="204" t="s">
        <v>443</v>
      </c>
      <c r="C806" s="205" t="s">
        <v>445</v>
      </c>
      <c r="D806" s="206" t="s">
        <v>271</v>
      </c>
      <c r="E806" s="289">
        <f>0.5*E805</f>
        <v>3.23</v>
      </c>
      <c r="F806" s="286">
        <v>2.48</v>
      </c>
      <c r="G806" s="210">
        <f t="shared" si="98"/>
        <v>8.01</v>
      </c>
      <c r="H806" s="688"/>
      <c r="J806" s="6"/>
      <c r="K806" s="6"/>
    </row>
    <row r="807" spans="1:11" ht="16.5" hidden="1" customHeight="1" x14ac:dyDescent="0.25">
      <c r="A807" s="583"/>
      <c r="B807" s="204">
        <v>1743</v>
      </c>
      <c r="C807" s="205" t="s">
        <v>515</v>
      </c>
      <c r="D807" s="206" t="s">
        <v>502</v>
      </c>
      <c r="E807" s="241">
        <v>4</v>
      </c>
      <c r="F807" s="226">
        <v>46.39</v>
      </c>
      <c r="G807" s="210">
        <f t="shared" si="98"/>
        <v>185.56</v>
      </c>
      <c r="H807" s="688"/>
      <c r="J807" s="6"/>
      <c r="K807" s="6"/>
    </row>
    <row r="808" spans="1:11" ht="16.5" hidden="1" customHeight="1" x14ac:dyDescent="0.25">
      <c r="A808" s="583"/>
      <c r="B808" s="204"/>
      <c r="C808" s="205" t="s">
        <v>499</v>
      </c>
      <c r="D808" s="206" t="s">
        <v>502</v>
      </c>
      <c r="E808" s="241">
        <v>4</v>
      </c>
      <c r="F808" s="226">
        <v>133.34</v>
      </c>
      <c r="G808" s="210">
        <f t="shared" si="98"/>
        <v>533.36</v>
      </c>
      <c r="H808" s="688"/>
      <c r="J808" s="6"/>
      <c r="K808" s="6"/>
    </row>
    <row r="809" spans="1:11" ht="24" customHeight="1" x14ac:dyDescent="0.25">
      <c r="A809" s="583"/>
      <c r="B809" s="204">
        <v>6157</v>
      </c>
      <c r="C809" s="205" t="s">
        <v>804</v>
      </c>
      <c r="D809" s="206" t="s">
        <v>502</v>
      </c>
      <c r="E809" s="241">
        <v>4</v>
      </c>
      <c r="F809" s="226">
        <v>45.51</v>
      </c>
      <c r="G809" s="210">
        <f t="shared" si="98"/>
        <v>182.04</v>
      </c>
      <c r="H809" s="688"/>
      <c r="J809" s="6"/>
      <c r="K809" s="6"/>
    </row>
    <row r="810" spans="1:11" ht="21" customHeight="1" x14ac:dyDescent="0.25">
      <c r="A810" s="583"/>
      <c r="B810" s="204">
        <v>6141</v>
      </c>
      <c r="C810" s="205" t="s">
        <v>781</v>
      </c>
      <c r="D810" s="206" t="s">
        <v>502</v>
      </c>
      <c r="E810" s="241">
        <v>4</v>
      </c>
      <c r="F810" s="226">
        <v>2.14</v>
      </c>
      <c r="G810" s="210">
        <f t="shared" si="98"/>
        <v>8.56</v>
      </c>
      <c r="H810" s="688"/>
      <c r="J810" s="6"/>
      <c r="K810" s="6"/>
    </row>
    <row r="811" spans="1:11" ht="16.5" customHeight="1" thickBot="1" x14ac:dyDescent="0.3">
      <c r="A811" s="584"/>
      <c r="B811" s="211">
        <v>3143</v>
      </c>
      <c r="C811" s="216" t="s">
        <v>325</v>
      </c>
      <c r="D811" s="212" t="s">
        <v>502</v>
      </c>
      <c r="E811" s="271">
        <v>1</v>
      </c>
      <c r="F811" s="282">
        <v>4.1500000000000004</v>
      </c>
      <c r="G811" s="215">
        <f t="shared" si="98"/>
        <v>4.1500000000000004</v>
      </c>
      <c r="H811" s="696"/>
      <c r="J811" s="6"/>
      <c r="K811" s="6"/>
    </row>
    <row r="812" spans="1:11" ht="30" customHeight="1" thickBot="1" x14ac:dyDescent="0.3">
      <c r="A812" s="582" t="s">
        <v>207</v>
      </c>
      <c r="B812" s="310" t="s">
        <v>783</v>
      </c>
      <c r="C812" s="202" t="s">
        <v>512</v>
      </c>
      <c r="D812" s="43" t="s">
        <v>268</v>
      </c>
      <c r="E812" s="44">
        <v>1</v>
      </c>
      <c r="F812" s="30">
        <f>SUM(G813:G818)/E812</f>
        <v>2518.8000000000002</v>
      </c>
      <c r="G812" s="45">
        <f t="shared" si="98"/>
        <v>2518.8000000000002</v>
      </c>
      <c r="H812" s="688"/>
      <c r="J812" s="6"/>
      <c r="K812" s="6"/>
    </row>
    <row r="813" spans="1:11" ht="16.5" customHeight="1" thickBot="1" x14ac:dyDescent="0.3">
      <c r="A813" s="583"/>
      <c r="B813" s="142">
        <v>4750</v>
      </c>
      <c r="C813" s="137" t="s">
        <v>261</v>
      </c>
      <c r="D813" s="138" t="s">
        <v>257</v>
      </c>
      <c r="E813" s="203">
        <f>5.152*E812</f>
        <v>5.1520000000000001</v>
      </c>
      <c r="F813" s="201">
        <v>14.79</v>
      </c>
      <c r="G813" s="143">
        <f t="shared" si="98"/>
        <v>76.2</v>
      </c>
      <c r="H813" s="58" t="s">
        <v>59</v>
      </c>
      <c r="I813" s="482">
        <f>H814+H816</f>
        <v>2518.8000000000002</v>
      </c>
      <c r="J813" s="6"/>
      <c r="K813" s="6"/>
    </row>
    <row r="814" spans="1:11" ht="16.5" customHeight="1" x14ac:dyDescent="0.25">
      <c r="A814" s="583"/>
      <c r="B814" s="142">
        <v>6111</v>
      </c>
      <c r="C814" s="137" t="s">
        <v>274</v>
      </c>
      <c r="D814" s="138" t="s">
        <v>257</v>
      </c>
      <c r="E814" s="203">
        <f>5.152*E812</f>
        <v>5.1520000000000001</v>
      </c>
      <c r="F814" s="201">
        <v>10.49</v>
      </c>
      <c r="G814" s="143">
        <f t="shared" si="98"/>
        <v>54.04</v>
      </c>
      <c r="H814" s="220">
        <f>(G813+G814+G815)/E812</f>
        <v>189.64</v>
      </c>
      <c r="J814" s="6"/>
      <c r="K814" s="6"/>
    </row>
    <row r="815" spans="1:11" ht="16.5" customHeight="1" x14ac:dyDescent="0.25">
      <c r="A815" s="583"/>
      <c r="B815" s="142">
        <v>2696</v>
      </c>
      <c r="C815" s="137" t="s">
        <v>260</v>
      </c>
      <c r="D815" s="138" t="s">
        <v>257</v>
      </c>
      <c r="E815" s="139">
        <v>4</v>
      </c>
      <c r="F815" s="140">
        <v>14.85</v>
      </c>
      <c r="G815" s="198">
        <f t="shared" si="98"/>
        <v>59.4</v>
      </c>
      <c r="H815" s="60" t="s">
        <v>60</v>
      </c>
      <c r="J815" s="6"/>
      <c r="K815" s="6"/>
    </row>
    <row r="816" spans="1:11" ht="16.5" customHeight="1" thickBot="1" x14ac:dyDescent="0.3">
      <c r="A816" s="583"/>
      <c r="B816" s="386">
        <v>4471</v>
      </c>
      <c r="C816" s="387" t="s">
        <v>513</v>
      </c>
      <c r="D816" s="388" t="s">
        <v>15</v>
      </c>
      <c r="E816" s="389">
        <f>3*5</f>
        <v>15</v>
      </c>
      <c r="F816" s="390">
        <v>18.96</v>
      </c>
      <c r="G816" s="391">
        <f>E816*F816</f>
        <v>284.39999999999998</v>
      </c>
      <c r="H816" s="221">
        <f>F812-H814</f>
        <v>2329.16</v>
      </c>
      <c r="J816" s="6"/>
      <c r="K816" s="6"/>
    </row>
    <row r="817" spans="1:11" ht="24.75" customHeight="1" x14ac:dyDescent="0.25">
      <c r="A817" s="583"/>
      <c r="B817" s="386">
        <v>6188</v>
      </c>
      <c r="C817" s="392" t="s">
        <v>803</v>
      </c>
      <c r="D817" s="388" t="s">
        <v>498</v>
      </c>
      <c r="E817" s="387">
        <f>2.5*2.5</f>
        <v>6.25</v>
      </c>
      <c r="F817" s="390">
        <v>28.74</v>
      </c>
      <c r="G817" s="391">
        <f>E817*F817</f>
        <v>179.63</v>
      </c>
      <c r="H817" s="688"/>
      <c r="J817" s="6"/>
      <c r="K817" s="6"/>
    </row>
    <row r="818" spans="1:11" ht="27" customHeight="1" thickBot="1" x14ac:dyDescent="0.3">
      <c r="A818" s="583"/>
      <c r="B818" s="242" t="s">
        <v>784</v>
      </c>
      <c r="C818" s="243" t="s">
        <v>514</v>
      </c>
      <c r="D818" s="244"/>
      <c r="E818" s="245">
        <v>1</v>
      </c>
      <c r="F818" s="653">
        <f>1865.13</f>
        <v>1865.13</v>
      </c>
      <c r="G818" s="654">
        <f>E818*F818</f>
        <v>1865.13</v>
      </c>
      <c r="H818" s="688"/>
      <c r="J818" s="6"/>
      <c r="K818" s="6"/>
    </row>
    <row r="819" spans="1:11" ht="21.75" customHeight="1" thickBot="1" x14ac:dyDescent="0.3">
      <c r="A819" s="832">
        <v>15</v>
      </c>
      <c r="B819" s="833"/>
      <c r="C819" s="822" t="s">
        <v>811</v>
      </c>
      <c r="D819" s="823"/>
      <c r="E819" s="823"/>
      <c r="F819" s="823"/>
      <c r="G819" s="823"/>
      <c r="H819" s="824"/>
    </row>
    <row r="820" spans="1:11" ht="23.25" thickBot="1" x14ac:dyDescent="0.3">
      <c r="A820" s="583" t="s">
        <v>208</v>
      </c>
      <c r="B820" s="599">
        <v>40777</v>
      </c>
      <c r="C820" s="106" t="s">
        <v>787</v>
      </c>
      <c r="D820" s="107" t="s">
        <v>269</v>
      </c>
      <c r="E820" s="333">
        <v>1</v>
      </c>
      <c r="F820" s="49">
        <f>SUM(G821:G824)/E820</f>
        <v>32.79</v>
      </c>
      <c r="G820" s="334">
        <f t="shared" ref="G820:G1026" si="99">F820*E820</f>
        <v>32.79</v>
      </c>
      <c r="H820" s="697" t="s">
        <v>59</v>
      </c>
      <c r="I820" s="482">
        <v>32.79</v>
      </c>
    </row>
    <row r="821" spans="1:11" x14ac:dyDescent="0.25">
      <c r="A821" s="583"/>
      <c r="B821" s="204">
        <v>122</v>
      </c>
      <c r="C821" s="205" t="s">
        <v>323</v>
      </c>
      <c r="D821" s="206" t="s">
        <v>268</v>
      </c>
      <c r="E821" s="241">
        <f>0.003*E820</f>
        <v>3.0000000000000001E-3</v>
      </c>
      <c r="F821" s="208">
        <v>30.09</v>
      </c>
      <c r="G821" s="210">
        <f t="shared" si="99"/>
        <v>0.09</v>
      </c>
      <c r="H821" s="277">
        <f>I820-H823</f>
        <v>15.73</v>
      </c>
    </row>
    <row r="822" spans="1:11" ht="22.5" x14ac:dyDescent="0.25">
      <c r="A822" s="583"/>
      <c r="B822" s="429">
        <v>88267</v>
      </c>
      <c r="C822" s="430" t="s">
        <v>755</v>
      </c>
      <c r="D822" s="739" t="s">
        <v>281</v>
      </c>
      <c r="E822" s="379">
        <f>0.499*E820</f>
        <v>0.499</v>
      </c>
      <c r="F822" s="464">
        <v>17.940000000000001</v>
      </c>
      <c r="G822" s="741">
        <f t="shared" si="99"/>
        <v>8.9499999999999993</v>
      </c>
      <c r="H822" s="64" t="s">
        <v>60</v>
      </c>
    </row>
    <row r="823" spans="1:11" x14ac:dyDescent="0.25">
      <c r="A823" s="583"/>
      <c r="B823" s="429">
        <v>88316</v>
      </c>
      <c r="C823" s="430" t="s">
        <v>690</v>
      </c>
      <c r="D823" s="431" t="s">
        <v>257</v>
      </c>
      <c r="E823" s="432">
        <f>0.5*E820</f>
        <v>0.5</v>
      </c>
      <c r="F823" s="464">
        <v>13.56</v>
      </c>
      <c r="G823" s="434">
        <f>F823*E823</f>
        <v>6.78</v>
      </c>
      <c r="H823" s="277">
        <f>G821+G824</f>
        <v>17.059999999999999</v>
      </c>
    </row>
    <row r="824" spans="1:11" ht="23.25" thickBot="1" x14ac:dyDescent="0.3">
      <c r="A824" s="584"/>
      <c r="B824" s="278">
        <v>11717</v>
      </c>
      <c r="C824" s="279" t="s">
        <v>786</v>
      </c>
      <c r="D824" s="280" t="s">
        <v>269</v>
      </c>
      <c r="E824" s="322">
        <f>1*E820</f>
        <v>1</v>
      </c>
      <c r="F824" s="282">
        <v>16.97</v>
      </c>
      <c r="G824" s="283">
        <f t="shared" si="99"/>
        <v>16.97</v>
      </c>
      <c r="H824" s="684"/>
      <c r="J824" s="12"/>
      <c r="K824" s="12"/>
    </row>
    <row r="825" spans="1:11" ht="23.25" thickBot="1" x14ac:dyDescent="0.3">
      <c r="A825" s="582" t="s">
        <v>1080</v>
      </c>
      <c r="B825" s="306">
        <v>72292</v>
      </c>
      <c r="C825" s="66" t="s">
        <v>86</v>
      </c>
      <c r="D825" s="67" t="s">
        <v>269</v>
      </c>
      <c r="E825" s="108">
        <v>1</v>
      </c>
      <c r="F825" s="30">
        <f>SUM(G826:G829)/E825</f>
        <v>41.16</v>
      </c>
      <c r="G825" s="45">
        <f t="shared" ref="G825:G829" si="100">F825*E825</f>
        <v>41.16</v>
      </c>
      <c r="H825" s="64" t="s">
        <v>59</v>
      </c>
      <c r="I825" s="482">
        <v>41.16</v>
      </c>
      <c r="J825" s="12"/>
      <c r="K825" s="12"/>
    </row>
    <row r="826" spans="1:11" x14ac:dyDescent="0.25">
      <c r="A826" s="583"/>
      <c r="B826" s="204"/>
      <c r="C826" s="205"/>
      <c r="D826" s="206"/>
      <c r="E826" s="241"/>
      <c r="F826" s="208"/>
      <c r="G826" s="210"/>
      <c r="H826" s="277">
        <f>I825-H828</f>
        <v>31.46</v>
      </c>
      <c r="J826" s="12"/>
      <c r="K826" s="12"/>
    </row>
    <row r="827" spans="1:11" ht="22.5" x14ac:dyDescent="0.25">
      <c r="A827" s="583"/>
      <c r="B827" s="429">
        <v>88267</v>
      </c>
      <c r="C827" s="430" t="s">
        <v>755</v>
      </c>
      <c r="D827" s="739" t="s">
        <v>281</v>
      </c>
      <c r="E827" s="379">
        <f>0.998*E825</f>
        <v>0.998</v>
      </c>
      <c r="F827" s="464">
        <v>17.940000000000001</v>
      </c>
      <c r="G827" s="741">
        <f t="shared" si="100"/>
        <v>17.899999999999999</v>
      </c>
      <c r="H827" s="64" t="s">
        <v>60</v>
      </c>
      <c r="J827" s="12"/>
      <c r="K827" s="12"/>
    </row>
    <row r="828" spans="1:11" x14ac:dyDescent="0.25">
      <c r="A828" s="583"/>
      <c r="B828" s="429">
        <v>88316</v>
      </c>
      <c r="C828" s="430" t="s">
        <v>690</v>
      </c>
      <c r="D828" s="431" t="s">
        <v>257</v>
      </c>
      <c r="E828" s="432">
        <f>1*E825</f>
        <v>1</v>
      </c>
      <c r="F828" s="464">
        <v>13.56</v>
      </c>
      <c r="G828" s="434">
        <f>F828*E828</f>
        <v>13.56</v>
      </c>
      <c r="H828" s="277">
        <f>G826+G829</f>
        <v>9.6999999999999993</v>
      </c>
      <c r="J828" s="12"/>
      <c r="K828" s="12"/>
    </row>
    <row r="829" spans="1:11" ht="23.25" thickBot="1" x14ac:dyDescent="0.3">
      <c r="A829" s="584"/>
      <c r="B829" s="278">
        <v>5103</v>
      </c>
      <c r="C829" s="279" t="s">
        <v>566</v>
      </c>
      <c r="D829" s="280" t="s">
        <v>269</v>
      </c>
      <c r="E829" s="322">
        <f>1*E825</f>
        <v>1</v>
      </c>
      <c r="F829" s="282">
        <v>9.6999999999999993</v>
      </c>
      <c r="G829" s="283">
        <f t="shared" si="100"/>
        <v>9.6999999999999993</v>
      </c>
      <c r="H829" s="684"/>
      <c r="J829" s="12"/>
      <c r="K829" s="12"/>
    </row>
    <row r="830" spans="1:11" ht="23.25" thickBot="1" x14ac:dyDescent="0.3">
      <c r="A830" s="582" t="s">
        <v>1081</v>
      </c>
      <c r="B830" s="306">
        <v>72291</v>
      </c>
      <c r="C830" s="66" t="s">
        <v>568</v>
      </c>
      <c r="D830" s="67" t="s">
        <v>269</v>
      </c>
      <c r="E830" s="108">
        <v>1</v>
      </c>
      <c r="F830" s="30">
        <f>SUM(G831:G834)/E830</f>
        <v>44.25</v>
      </c>
      <c r="G830" s="45">
        <f t="shared" ref="G830:G834" si="101">F830*E830</f>
        <v>44.25</v>
      </c>
      <c r="H830" s="64" t="s">
        <v>59</v>
      </c>
      <c r="I830" s="482">
        <v>44.25</v>
      </c>
      <c r="J830" s="12"/>
      <c r="K830" s="12"/>
    </row>
    <row r="831" spans="1:11" x14ac:dyDescent="0.25">
      <c r="A831" s="583"/>
      <c r="B831" s="204"/>
      <c r="C831" s="205"/>
      <c r="D831" s="206"/>
      <c r="E831" s="241"/>
      <c r="F831" s="208"/>
      <c r="G831" s="210"/>
      <c r="H831" s="277">
        <f>I830-H833</f>
        <v>22.03</v>
      </c>
      <c r="J831" s="12"/>
      <c r="K831" s="12"/>
    </row>
    <row r="832" spans="1:11" ht="22.5" x14ac:dyDescent="0.25">
      <c r="A832" s="583"/>
      <c r="B832" s="429">
        <v>88267</v>
      </c>
      <c r="C832" s="430" t="s">
        <v>755</v>
      </c>
      <c r="D832" s="739" t="s">
        <v>281</v>
      </c>
      <c r="E832" s="379">
        <f>0.699*E830</f>
        <v>0.69899999999999995</v>
      </c>
      <c r="F832" s="464">
        <v>17.940000000000001</v>
      </c>
      <c r="G832" s="741">
        <f t="shared" ref="G832" si="102">F832*E832</f>
        <v>12.54</v>
      </c>
      <c r="H832" s="64" t="s">
        <v>60</v>
      </c>
      <c r="J832" s="12"/>
      <c r="K832" s="12"/>
    </row>
    <row r="833" spans="1:11" x14ac:dyDescent="0.25">
      <c r="A833" s="583"/>
      <c r="B833" s="429">
        <v>88316</v>
      </c>
      <c r="C833" s="430" t="s">
        <v>690</v>
      </c>
      <c r="D833" s="431" t="s">
        <v>257</v>
      </c>
      <c r="E833" s="432">
        <f>0.7*E830</f>
        <v>0.7</v>
      </c>
      <c r="F833" s="464">
        <v>13.56</v>
      </c>
      <c r="G833" s="434">
        <f>F833*E833</f>
        <v>9.49</v>
      </c>
      <c r="H833" s="277">
        <f>G831+G834</f>
        <v>22.22</v>
      </c>
      <c r="J833" s="12"/>
      <c r="K833" s="12"/>
    </row>
    <row r="834" spans="1:11" ht="23.25" thickBot="1" x14ac:dyDescent="0.3">
      <c r="A834" s="584"/>
      <c r="B834" s="278">
        <v>11714</v>
      </c>
      <c r="C834" s="279" t="s">
        <v>567</v>
      </c>
      <c r="D834" s="280" t="s">
        <v>269</v>
      </c>
      <c r="E834" s="322">
        <f>1*E830</f>
        <v>1</v>
      </c>
      <c r="F834" s="282">
        <v>22.22</v>
      </c>
      <c r="G834" s="283">
        <f t="shared" si="101"/>
        <v>22.22</v>
      </c>
      <c r="H834" s="684"/>
      <c r="J834" s="12"/>
      <c r="K834" s="12"/>
    </row>
    <row r="835" spans="1:11" ht="23.25" thickBot="1" x14ac:dyDescent="0.3">
      <c r="A835" s="582" t="s">
        <v>1082</v>
      </c>
      <c r="B835" s="306">
        <v>72685</v>
      </c>
      <c r="C835" s="66" t="s">
        <v>570</v>
      </c>
      <c r="D835" s="67" t="s">
        <v>269</v>
      </c>
      <c r="E835" s="108">
        <v>1</v>
      </c>
      <c r="F835" s="30">
        <f>SUM(G836:G839)/E835</f>
        <v>22.02</v>
      </c>
      <c r="G835" s="45">
        <f t="shared" ref="G835:G839" si="103">F835*E835</f>
        <v>22.02</v>
      </c>
      <c r="H835" s="64" t="s">
        <v>59</v>
      </c>
      <c r="I835" s="482">
        <v>22.02</v>
      </c>
      <c r="J835" s="12"/>
      <c r="K835" s="12"/>
    </row>
    <row r="836" spans="1:11" x14ac:dyDescent="0.25">
      <c r="A836" s="583"/>
      <c r="B836" s="204"/>
      <c r="C836" s="205"/>
      <c r="D836" s="206"/>
      <c r="E836" s="241"/>
      <c r="F836" s="208"/>
      <c r="G836" s="210"/>
      <c r="H836" s="277">
        <f>I835-H838</f>
        <v>15.73</v>
      </c>
      <c r="J836" s="12"/>
      <c r="K836" s="12"/>
    </row>
    <row r="837" spans="1:11" ht="22.5" x14ac:dyDescent="0.25">
      <c r="A837" s="583"/>
      <c r="B837" s="429">
        <v>88267</v>
      </c>
      <c r="C837" s="430" t="s">
        <v>755</v>
      </c>
      <c r="D837" s="739" t="s">
        <v>281</v>
      </c>
      <c r="E837" s="379">
        <f>0.499*E835</f>
        <v>0.499</v>
      </c>
      <c r="F837" s="464">
        <v>17.940000000000001</v>
      </c>
      <c r="G837" s="741">
        <f t="shared" ref="G837" si="104">F837*E837</f>
        <v>8.9499999999999993</v>
      </c>
      <c r="H837" s="64" t="s">
        <v>60</v>
      </c>
      <c r="J837" s="12"/>
      <c r="K837" s="12"/>
    </row>
    <row r="838" spans="1:11" x14ac:dyDescent="0.25">
      <c r="A838" s="583"/>
      <c r="B838" s="429">
        <v>88316</v>
      </c>
      <c r="C838" s="430" t="s">
        <v>690</v>
      </c>
      <c r="D838" s="431" t="s">
        <v>257</v>
      </c>
      <c r="E838" s="432">
        <f>0.5*E835</f>
        <v>0.5</v>
      </c>
      <c r="F838" s="464">
        <v>13.56</v>
      </c>
      <c r="G838" s="434">
        <f>F838*E838</f>
        <v>6.78</v>
      </c>
      <c r="H838" s="277">
        <f>G836+G839</f>
        <v>6.29</v>
      </c>
      <c r="J838" s="12"/>
      <c r="K838" s="12"/>
    </row>
    <row r="839" spans="1:11" ht="23.25" thickBot="1" x14ac:dyDescent="0.3">
      <c r="A839" s="584"/>
      <c r="B839" s="278">
        <v>11745</v>
      </c>
      <c r="C839" s="279" t="s">
        <v>569</v>
      </c>
      <c r="D839" s="280" t="s">
        <v>269</v>
      </c>
      <c r="E839" s="322">
        <f>1*E835</f>
        <v>1</v>
      </c>
      <c r="F839" s="282">
        <v>6.29</v>
      </c>
      <c r="G839" s="283">
        <f t="shared" si="103"/>
        <v>6.29</v>
      </c>
      <c r="H839" s="684"/>
      <c r="J839" s="12"/>
      <c r="K839" s="12"/>
    </row>
    <row r="840" spans="1:11" ht="23.25" thickBot="1" x14ac:dyDescent="0.3">
      <c r="A840" s="582" t="s">
        <v>1083</v>
      </c>
      <c r="B840" s="306">
        <v>72557</v>
      </c>
      <c r="C840" s="66" t="s">
        <v>573</v>
      </c>
      <c r="D840" s="67" t="s">
        <v>269</v>
      </c>
      <c r="E840" s="108">
        <v>1</v>
      </c>
      <c r="F840" s="30">
        <f>SUM(G841:G845)/E840</f>
        <v>19.100000000000001</v>
      </c>
      <c r="G840" s="45">
        <f t="shared" ref="G840:G845" si="105">F840*E840</f>
        <v>19.100000000000001</v>
      </c>
      <c r="H840" s="64" t="s">
        <v>59</v>
      </c>
      <c r="I840" s="482">
        <v>19.100000000000001</v>
      </c>
      <c r="J840" s="12"/>
      <c r="K840" s="12"/>
    </row>
    <row r="841" spans="1:11" x14ac:dyDescent="0.25">
      <c r="A841" s="583"/>
      <c r="B841" s="204">
        <v>122</v>
      </c>
      <c r="C841" s="205" t="s">
        <v>323</v>
      </c>
      <c r="D841" s="206" t="s">
        <v>268</v>
      </c>
      <c r="E841" s="241">
        <f>0.0529*E840</f>
        <v>5.2900000000000003E-2</v>
      </c>
      <c r="F841" s="208">
        <v>30.09</v>
      </c>
      <c r="G841" s="210">
        <f t="shared" si="105"/>
        <v>1.59</v>
      </c>
      <c r="H841" s="277">
        <f>I840-H843</f>
        <v>12.58</v>
      </c>
      <c r="J841" s="12"/>
      <c r="K841" s="12"/>
    </row>
    <row r="842" spans="1:11" ht="22.5" x14ac:dyDescent="0.25">
      <c r="A842" s="583"/>
      <c r="B842" s="429">
        <v>88267</v>
      </c>
      <c r="C842" s="430" t="s">
        <v>755</v>
      </c>
      <c r="D842" s="739" t="s">
        <v>281</v>
      </c>
      <c r="E842" s="379">
        <f>0.399*E840</f>
        <v>0.39900000000000002</v>
      </c>
      <c r="F842" s="464">
        <v>17.940000000000001</v>
      </c>
      <c r="G842" s="741">
        <f t="shared" si="105"/>
        <v>7.16</v>
      </c>
      <c r="H842" s="64" t="s">
        <v>60</v>
      </c>
      <c r="J842" s="12"/>
      <c r="K842" s="12"/>
    </row>
    <row r="843" spans="1:11" x14ac:dyDescent="0.25">
      <c r="A843" s="583"/>
      <c r="B843" s="429">
        <v>88316</v>
      </c>
      <c r="C843" s="430" t="s">
        <v>690</v>
      </c>
      <c r="D843" s="431" t="s">
        <v>257</v>
      </c>
      <c r="E843" s="432">
        <f>0.4*E840</f>
        <v>0.4</v>
      </c>
      <c r="F843" s="464">
        <v>13.56</v>
      </c>
      <c r="G843" s="434">
        <f>F843*E843</f>
        <v>5.42</v>
      </c>
      <c r="H843" s="277">
        <f>G841+G844+G845</f>
        <v>6.52</v>
      </c>
      <c r="J843" s="12"/>
      <c r="K843" s="12"/>
    </row>
    <row r="844" spans="1:11" x14ac:dyDescent="0.25">
      <c r="A844" s="583"/>
      <c r="B844" s="242">
        <v>3528</v>
      </c>
      <c r="C844" s="243" t="s">
        <v>571</v>
      </c>
      <c r="D844" s="244" t="s">
        <v>572</v>
      </c>
      <c r="E844" s="323">
        <f>1*E840</f>
        <v>1</v>
      </c>
      <c r="F844" s="324">
        <v>3.86</v>
      </c>
      <c r="G844" s="210">
        <f t="shared" si="105"/>
        <v>3.86</v>
      </c>
      <c r="H844" s="690"/>
      <c r="J844" s="12"/>
      <c r="K844" s="12"/>
    </row>
    <row r="845" spans="1:11" ht="12" thickBot="1" x14ac:dyDescent="0.3">
      <c r="A845" s="584"/>
      <c r="B845" s="278">
        <v>20083</v>
      </c>
      <c r="C845" s="279" t="s">
        <v>324</v>
      </c>
      <c r="D845" s="280" t="s">
        <v>269</v>
      </c>
      <c r="E845" s="322">
        <f>0.03*E840</f>
        <v>0.03</v>
      </c>
      <c r="F845" s="282">
        <v>35.64</v>
      </c>
      <c r="G845" s="283">
        <f t="shared" si="105"/>
        <v>1.07</v>
      </c>
      <c r="H845" s="684"/>
      <c r="J845" s="12"/>
      <c r="K845" s="12"/>
    </row>
    <row r="846" spans="1:11" ht="23.25" thickBot="1" x14ac:dyDescent="0.3">
      <c r="A846" s="582" t="s">
        <v>1084</v>
      </c>
      <c r="B846" s="306">
        <v>72546</v>
      </c>
      <c r="C846" s="66" t="s">
        <v>575</v>
      </c>
      <c r="D846" s="67" t="s">
        <v>269</v>
      </c>
      <c r="E846" s="108">
        <v>1</v>
      </c>
      <c r="F846" s="30">
        <f>SUM(G847:G851)/E846</f>
        <v>16.149999999999999</v>
      </c>
      <c r="G846" s="45">
        <f t="shared" ref="G846:G851" si="106">F846*E846</f>
        <v>16.149999999999999</v>
      </c>
      <c r="H846" s="64" t="s">
        <v>59</v>
      </c>
      <c r="I846" s="482">
        <v>16.149999999999999</v>
      </c>
      <c r="J846" s="12"/>
      <c r="K846" s="12"/>
    </row>
    <row r="847" spans="1:11" x14ac:dyDescent="0.25">
      <c r="A847" s="583"/>
      <c r="B847" s="204">
        <v>122</v>
      </c>
      <c r="C847" s="205" t="s">
        <v>323</v>
      </c>
      <c r="D847" s="206" t="s">
        <v>268</v>
      </c>
      <c r="E847" s="241">
        <f>0.0235*E846</f>
        <v>2.35E-2</v>
      </c>
      <c r="F847" s="208">
        <v>30.09</v>
      </c>
      <c r="G847" s="210">
        <f t="shared" si="106"/>
        <v>0.71</v>
      </c>
      <c r="H847" s="277">
        <f>I846-H849</f>
        <v>3.76</v>
      </c>
      <c r="J847" s="12"/>
      <c r="K847" s="12"/>
    </row>
    <row r="848" spans="1:11" ht="22.5" x14ac:dyDescent="0.25">
      <c r="A848" s="583"/>
      <c r="B848" s="429">
        <v>88267</v>
      </c>
      <c r="C848" s="430" t="s">
        <v>755</v>
      </c>
      <c r="D848" s="739" t="s">
        <v>281</v>
      </c>
      <c r="E848" s="379">
        <f>0.119*E846</f>
        <v>0.11899999999999999</v>
      </c>
      <c r="F848" s="464">
        <v>17.940000000000001</v>
      </c>
      <c r="G848" s="741">
        <f t="shared" si="106"/>
        <v>2.13</v>
      </c>
      <c r="H848" s="64" t="s">
        <v>60</v>
      </c>
      <c r="J848" s="12"/>
      <c r="K848" s="12"/>
    </row>
    <row r="849" spans="1:11" x14ac:dyDescent="0.25">
      <c r="A849" s="583"/>
      <c r="B849" s="429">
        <v>88316</v>
      </c>
      <c r="C849" s="430" t="s">
        <v>690</v>
      </c>
      <c r="D849" s="431" t="s">
        <v>257</v>
      </c>
      <c r="E849" s="432">
        <f>0.12*E846</f>
        <v>0.12</v>
      </c>
      <c r="F849" s="464">
        <v>13.56</v>
      </c>
      <c r="G849" s="434">
        <f>F849*E849</f>
        <v>1.63</v>
      </c>
      <c r="H849" s="277">
        <f>G847+G850+G851</f>
        <v>12.39</v>
      </c>
      <c r="J849" s="12"/>
      <c r="K849" s="12"/>
    </row>
    <row r="850" spans="1:11" x14ac:dyDescent="0.25">
      <c r="A850" s="583"/>
      <c r="B850" s="242">
        <v>10765</v>
      </c>
      <c r="C850" s="243" t="s">
        <v>574</v>
      </c>
      <c r="D850" s="244" t="s">
        <v>572</v>
      </c>
      <c r="E850" s="323">
        <f>1*E846</f>
        <v>1</v>
      </c>
      <c r="F850" s="324">
        <v>11.5</v>
      </c>
      <c r="G850" s="210">
        <f t="shared" si="106"/>
        <v>11.5</v>
      </c>
      <c r="H850" s="690"/>
      <c r="J850" s="12"/>
      <c r="K850" s="12"/>
    </row>
    <row r="851" spans="1:11" ht="12" thickBot="1" x14ac:dyDescent="0.3">
      <c r="A851" s="584"/>
      <c r="B851" s="278">
        <v>20083</v>
      </c>
      <c r="C851" s="279" t="s">
        <v>324</v>
      </c>
      <c r="D851" s="280" t="s">
        <v>269</v>
      </c>
      <c r="E851" s="322">
        <f>0.005*E846</f>
        <v>5.0000000000000001E-3</v>
      </c>
      <c r="F851" s="282">
        <v>35.64</v>
      </c>
      <c r="G851" s="283">
        <f t="shared" si="106"/>
        <v>0.18</v>
      </c>
      <c r="H851" s="684"/>
      <c r="J851" s="12"/>
      <c r="K851" s="12"/>
    </row>
    <row r="852" spans="1:11" ht="23.25" thickBot="1" x14ac:dyDescent="0.3">
      <c r="A852" s="582" t="s">
        <v>1085</v>
      </c>
      <c r="B852" s="306">
        <v>72544</v>
      </c>
      <c r="C852" s="66" t="s">
        <v>576</v>
      </c>
      <c r="D852" s="67" t="s">
        <v>269</v>
      </c>
      <c r="E852" s="108">
        <v>1</v>
      </c>
      <c r="F852" s="30">
        <f>SUM(G853:G857)/E852</f>
        <v>11.71</v>
      </c>
      <c r="G852" s="45">
        <f t="shared" ref="G852:G857" si="107">F852*E852</f>
        <v>11.71</v>
      </c>
      <c r="H852" s="64" t="s">
        <v>59</v>
      </c>
      <c r="I852" s="482">
        <v>11.71</v>
      </c>
      <c r="J852" s="12"/>
      <c r="K852" s="12"/>
    </row>
    <row r="853" spans="1:11" x14ac:dyDescent="0.25">
      <c r="A853" s="583"/>
      <c r="B853" s="204">
        <v>122</v>
      </c>
      <c r="C853" s="205" t="s">
        <v>323</v>
      </c>
      <c r="D853" s="206" t="s">
        <v>268</v>
      </c>
      <c r="E853" s="241">
        <f>0.0235*E852</f>
        <v>2.35E-2</v>
      </c>
      <c r="F853" s="208">
        <v>30.09</v>
      </c>
      <c r="G853" s="210">
        <f t="shared" si="107"/>
        <v>0.71</v>
      </c>
      <c r="H853" s="277">
        <f>I852-H855</f>
        <v>3.76</v>
      </c>
      <c r="J853" s="12"/>
      <c r="K853" s="12"/>
    </row>
    <row r="854" spans="1:11" ht="22.5" x14ac:dyDescent="0.25">
      <c r="A854" s="583"/>
      <c r="B854" s="429">
        <v>88267</v>
      </c>
      <c r="C854" s="430" t="s">
        <v>755</v>
      </c>
      <c r="D854" s="739" t="s">
        <v>281</v>
      </c>
      <c r="E854" s="379">
        <f>0.119*E852</f>
        <v>0.11899999999999999</v>
      </c>
      <c r="F854" s="464">
        <v>17.940000000000001</v>
      </c>
      <c r="G854" s="741">
        <f t="shared" si="107"/>
        <v>2.13</v>
      </c>
      <c r="H854" s="64" t="s">
        <v>60</v>
      </c>
      <c r="J854" s="12"/>
      <c r="K854" s="12"/>
    </row>
    <row r="855" spans="1:11" x14ac:dyDescent="0.25">
      <c r="A855" s="583"/>
      <c r="B855" s="429">
        <v>88316</v>
      </c>
      <c r="C855" s="430" t="s">
        <v>690</v>
      </c>
      <c r="D855" s="431" t="s">
        <v>257</v>
      </c>
      <c r="E855" s="432">
        <f>0.12*E852</f>
        <v>0.12</v>
      </c>
      <c r="F855" s="464">
        <v>13.56</v>
      </c>
      <c r="G855" s="434">
        <f>F855*E855</f>
        <v>1.63</v>
      </c>
      <c r="H855" s="277">
        <f>G853+G856+G857</f>
        <v>7.95</v>
      </c>
      <c r="J855" s="12"/>
      <c r="K855" s="12"/>
    </row>
    <row r="856" spans="1:11" x14ac:dyDescent="0.25">
      <c r="A856" s="583"/>
      <c r="B856" s="242">
        <v>1932</v>
      </c>
      <c r="C856" s="243" t="s">
        <v>577</v>
      </c>
      <c r="D856" s="244" t="s">
        <v>572</v>
      </c>
      <c r="E856" s="323">
        <f>1*E852</f>
        <v>1</v>
      </c>
      <c r="F856" s="324">
        <v>7.06</v>
      </c>
      <c r="G856" s="210">
        <f t="shared" si="107"/>
        <v>7.06</v>
      </c>
      <c r="H856" s="690"/>
      <c r="J856" s="12"/>
      <c r="K856" s="12"/>
    </row>
    <row r="857" spans="1:11" ht="12" thickBot="1" x14ac:dyDescent="0.3">
      <c r="A857" s="584"/>
      <c r="B857" s="278">
        <v>20083</v>
      </c>
      <c r="C857" s="279" t="s">
        <v>324</v>
      </c>
      <c r="D857" s="280" t="s">
        <v>269</v>
      </c>
      <c r="E857" s="322">
        <f>0.005*E852</f>
        <v>5.0000000000000001E-3</v>
      </c>
      <c r="F857" s="282">
        <v>35.64</v>
      </c>
      <c r="G857" s="283">
        <f t="shared" si="107"/>
        <v>0.18</v>
      </c>
      <c r="H857" s="684"/>
      <c r="J857" s="12"/>
      <c r="K857" s="12"/>
    </row>
    <row r="858" spans="1:11" ht="23.25" thickBot="1" x14ac:dyDescent="0.3">
      <c r="A858" s="582" t="s">
        <v>1086</v>
      </c>
      <c r="B858" s="306">
        <v>72547</v>
      </c>
      <c r="C858" s="66" t="s">
        <v>578</v>
      </c>
      <c r="D858" s="67" t="s">
        <v>269</v>
      </c>
      <c r="E858" s="108">
        <v>1</v>
      </c>
      <c r="F858" s="30">
        <f>SUM(G859:G863)/E858</f>
        <v>6.33</v>
      </c>
      <c r="G858" s="45">
        <f t="shared" ref="G858:G863" si="108">F858*E858</f>
        <v>6.33</v>
      </c>
      <c r="H858" s="64" t="s">
        <v>59</v>
      </c>
      <c r="I858" s="482">
        <v>6.33</v>
      </c>
      <c r="J858" s="12"/>
      <c r="K858" s="12"/>
    </row>
    <row r="859" spans="1:11" x14ac:dyDescent="0.25">
      <c r="A859" s="583"/>
      <c r="B859" s="204">
        <v>122</v>
      </c>
      <c r="C859" s="205" t="s">
        <v>323</v>
      </c>
      <c r="D859" s="206" t="s">
        <v>268</v>
      </c>
      <c r="E859" s="241">
        <f>0.0176*E858</f>
        <v>1.7600000000000001E-2</v>
      </c>
      <c r="F859" s="208">
        <v>30.09</v>
      </c>
      <c r="G859" s="210">
        <f t="shared" si="108"/>
        <v>0.53</v>
      </c>
      <c r="H859" s="277">
        <f>I858-H861</f>
        <v>3.14</v>
      </c>
      <c r="J859" s="12"/>
      <c r="K859" s="12"/>
    </row>
    <row r="860" spans="1:11" ht="22.5" x14ac:dyDescent="0.25">
      <c r="A860" s="583"/>
      <c r="B860" s="429">
        <v>88267</v>
      </c>
      <c r="C860" s="430" t="s">
        <v>755</v>
      </c>
      <c r="D860" s="739" t="s">
        <v>281</v>
      </c>
      <c r="E860" s="379">
        <f>0.099*E858</f>
        <v>9.9000000000000005E-2</v>
      </c>
      <c r="F860" s="464">
        <v>17.940000000000001</v>
      </c>
      <c r="G860" s="741">
        <f t="shared" si="108"/>
        <v>1.78</v>
      </c>
      <c r="H860" s="64" t="s">
        <v>60</v>
      </c>
      <c r="J860" s="12"/>
      <c r="K860" s="12"/>
    </row>
    <row r="861" spans="1:11" x14ac:dyDescent="0.25">
      <c r="A861" s="583"/>
      <c r="B861" s="429">
        <v>88316</v>
      </c>
      <c r="C861" s="430" t="s">
        <v>690</v>
      </c>
      <c r="D861" s="431" t="s">
        <v>257</v>
      </c>
      <c r="E861" s="432">
        <f>0.1*E858</f>
        <v>0.1</v>
      </c>
      <c r="F861" s="464">
        <v>13.56</v>
      </c>
      <c r="G861" s="434">
        <f>F861*E861</f>
        <v>1.36</v>
      </c>
      <c r="H861" s="277">
        <f>G859+G862+G863</f>
        <v>3.19</v>
      </c>
      <c r="J861" s="12"/>
      <c r="K861" s="12"/>
    </row>
    <row r="862" spans="1:11" x14ac:dyDescent="0.25">
      <c r="A862" s="583"/>
      <c r="B862" s="242">
        <v>1933</v>
      </c>
      <c r="C862" s="243" t="s">
        <v>579</v>
      </c>
      <c r="D862" s="244" t="s">
        <v>572</v>
      </c>
      <c r="E862" s="323">
        <f>1*E858</f>
        <v>1</v>
      </c>
      <c r="F862" s="324">
        <v>2.52</v>
      </c>
      <c r="G862" s="210">
        <f t="shared" si="108"/>
        <v>2.52</v>
      </c>
      <c r="H862" s="690"/>
      <c r="J862" s="12"/>
      <c r="K862" s="12"/>
    </row>
    <row r="863" spans="1:11" ht="12" thickBot="1" x14ac:dyDescent="0.3">
      <c r="A863" s="584"/>
      <c r="B863" s="278">
        <v>20083</v>
      </c>
      <c r="C863" s="279" t="s">
        <v>324</v>
      </c>
      <c r="D863" s="280" t="s">
        <v>269</v>
      </c>
      <c r="E863" s="322">
        <f>0.004*E858</f>
        <v>4.0000000000000001E-3</v>
      </c>
      <c r="F863" s="282">
        <v>35.64</v>
      </c>
      <c r="G863" s="283">
        <f t="shared" si="108"/>
        <v>0.14000000000000001</v>
      </c>
      <c r="H863" s="684"/>
      <c r="J863" s="12"/>
      <c r="K863" s="12"/>
    </row>
    <row r="864" spans="1:11" ht="23.25" thickBot="1" x14ac:dyDescent="0.3">
      <c r="A864" s="582" t="s">
        <v>1087</v>
      </c>
      <c r="B864" s="306">
        <v>72564</v>
      </c>
      <c r="C864" s="66" t="s">
        <v>580</v>
      </c>
      <c r="D864" s="67" t="s">
        <v>269</v>
      </c>
      <c r="E864" s="108">
        <v>1</v>
      </c>
      <c r="F864" s="30">
        <f>SUM(G865:G869)/E864</f>
        <v>15.83</v>
      </c>
      <c r="G864" s="45">
        <f t="shared" ref="G864:G869" si="109">F864*E864</f>
        <v>15.83</v>
      </c>
      <c r="H864" s="64" t="s">
        <v>59</v>
      </c>
      <c r="I864" s="482">
        <v>15.83</v>
      </c>
      <c r="J864" s="12"/>
      <c r="K864" s="12"/>
    </row>
    <row r="865" spans="1:11" x14ac:dyDescent="0.25">
      <c r="A865" s="583"/>
      <c r="B865" s="204">
        <v>122</v>
      </c>
      <c r="C865" s="205" t="s">
        <v>323</v>
      </c>
      <c r="D865" s="206" t="s">
        <v>268</v>
      </c>
      <c r="E865" s="241">
        <f>0.0353*E864</f>
        <v>3.5299999999999998E-2</v>
      </c>
      <c r="F865" s="208">
        <v>30.09</v>
      </c>
      <c r="G865" s="210">
        <f t="shared" si="109"/>
        <v>1.06</v>
      </c>
      <c r="H865" s="277">
        <f>I864-H867</f>
        <v>10.71</v>
      </c>
      <c r="J865" s="12"/>
      <c r="K865" s="12"/>
    </row>
    <row r="866" spans="1:11" ht="22.5" x14ac:dyDescent="0.25">
      <c r="A866" s="583"/>
      <c r="B866" s="429">
        <v>88267</v>
      </c>
      <c r="C866" s="430" t="s">
        <v>755</v>
      </c>
      <c r="D866" s="739" t="s">
        <v>281</v>
      </c>
      <c r="E866" s="379">
        <f>0.34*E864</f>
        <v>0.34</v>
      </c>
      <c r="F866" s="464">
        <v>17.940000000000001</v>
      </c>
      <c r="G866" s="741">
        <f t="shared" si="109"/>
        <v>6.1</v>
      </c>
      <c r="H866" s="64" t="s">
        <v>60</v>
      </c>
      <c r="J866" s="12"/>
      <c r="K866" s="12"/>
    </row>
    <row r="867" spans="1:11" x14ac:dyDescent="0.25">
      <c r="A867" s="583"/>
      <c r="B867" s="429">
        <v>88316</v>
      </c>
      <c r="C867" s="430" t="s">
        <v>690</v>
      </c>
      <c r="D867" s="431" t="s">
        <v>257</v>
      </c>
      <c r="E867" s="432">
        <f>0.34*E864</f>
        <v>0.34</v>
      </c>
      <c r="F867" s="464">
        <v>13.56</v>
      </c>
      <c r="G867" s="434">
        <f>F867*E867</f>
        <v>4.6100000000000003</v>
      </c>
      <c r="H867" s="277">
        <f>G865+G868+G869</f>
        <v>5.12</v>
      </c>
      <c r="J867" s="12"/>
      <c r="K867" s="12"/>
    </row>
    <row r="868" spans="1:11" ht="22.5" x14ac:dyDescent="0.25">
      <c r="A868" s="583"/>
      <c r="B868" s="242">
        <v>3519</v>
      </c>
      <c r="C868" s="243" t="s">
        <v>581</v>
      </c>
      <c r="D868" s="244" t="s">
        <v>572</v>
      </c>
      <c r="E868" s="323">
        <f>1*E864</f>
        <v>1</v>
      </c>
      <c r="F868" s="324">
        <v>3.53</v>
      </c>
      <c r="G868" s="210">
        <f t="shared" si="109"/>
        <v>3.53</v>
      </c>
      <c r="H868" s="690"/>
      <c r="J868" s="12"/>
      <c r="K868" s="12"/>
    </row>
    <row r="869" spans="1:11" ht="12" thickBot="1" x14ac:dyDescent="0.3">
      <c r="A869" s="584"/>
      <c r="B869" s="278">
        <v>20083</v>
      </c>
      <c r="C869" s="279" t="s">
        <v>324</v>
      </c>
      <c r="D869" s="280" t="s">
        <v>269</v>
      </c>
      <c r="E869" s="322">
        <f>0.015*E864</f>
        <v>1.4999999999999999E-2</v>
      </c>
      <c r="F869" s="282">
        <v>35.64</v>
      </c>
      <c r="G869" s="283">
        <f t="shared" si="109"/>
        <v>0.53</v>
      </c>
      <c r="H869" s="684"/>
      <c r="J869" s="12"/>
      <c r="K869" s="12"/>
    </row>
    <row r="870" spans="1:11" ht="23.25" thickBot="1" x14ac:dyDescent="0.3">
      <c r="A870" s="582" t="s">
        <v>1088</v>
      </c>
      <c r="B870" s="306">
        <v>72561</v>
      </c>
      <c r="C870" s="66" t="s">
        <v>582</v>
      </c>
      <c r="D870" s="67" t="s">
        <v>269</v>
      </c>
      <c r="E870" s="108">
        <v>1</v>
      </c>
      <c r="F870" s="30">
        <f>SUM(G871:G875)/E870</f>
        <v>10.89</v>
      </c>
      <c r="G870" s="45">
        <f t="shared" ref="G870:G875" si="110">F870*E870</f>
        <v>10.89</v>
      </c>
      <c r="H870" s="64" t="s">
        <v>59</v>
      </c>
      <c r="I870" s="482">
        <v>10.89</v>
      </c>
      <c r="J870" s="12"/>
      <c r="K870" s="12"/>
    </row>
    <row r="871" spans="1:11" x14ac:dyDescent="0.25">
      <c r="A871" s="583"/>
      <c r="B871" s="204">
        <v>122</v>
      </c>
      <c r="C871" s="205" t="s">
        <v>323</v>
      </c>
      <c r="D871" s="206" t="s">
        <v>268</v>
      </c>
      <c r="E871" s="241">
        <f>0.0176*E870</f>
        <v>1.7600000000000001E-2</v>
      </c>
      <c r="F871" s="208">
        <v>30.09</v>
      </c>
      <c r="G871" s="210">
        <f t="shared" si="110"/>
        <v>0.53</v>
      </c>
      <c r="H871" s="277">
        <f>I870-H873</f>
        <v>8.49</v>
      </c>
      <c r="J871" s="12"/>
      <c r="K871" s="12"/>
    </row>
    <row r="872" spans="1:11" ht="22.5" x14ac:dyDescent="0.25">
      <c r="A872" s="583"/>
      <c r="B872" s="429">
        <v>88267</v>
      </c>
      <c r="C872" s="430" t="s">
        <v>755</v>
      </c>
      <c r="D872" s="739" t="s">
        <v>281</v>
      </c>
      <c r="E872" s="379">
        <f>0.269*E870</f>
        <v>0.26900000000000002</v>
      </c>
      <c r="F872" s="464">
        <v>17.940000000000001</v>
      </c>
      <c r="G872" s="741">
        <f t="shared" si="110"/>
        <v>4.83</v>
      </c>
      <c r="H872" s="64" t="s">
        <v>60</v>
      </c>
      <c r="J872" s="12"/>
      <c r="K872" s="12"/>
    </row>
    <row r="873" spans="1:11" x14ac:dyDescent="0.25">
      <c r="A873" s="583"/>
      <c r="B873" s="429">
        <v>88316</v>
      </c>
      <c r="C873" s="430" t="s">
        <v>690</v>
      </c>
      <c r="D873" s="431" t="s">
        <v>257</v>
      </c>
      <c r="E873" s="432">
        <f>0.27*E870</f>
        <v>0.27</v>
      </c>
      <c r="F873" s="464">
        <v>13.56</v>
      </c>
      <c r="G873" s="434">
        <f>F873*E873</f>
        <v>3.66</v>
      </c>
      <c r="H873" s="277">
        <f>G871+G874+G875</f>
        <v>2.4</v>
      </c>
      <c r="J873" s="12"/>
      <c r="K873" s="12"/>
    </row>
    <row r="874" spans="1:11" ht="22.5" x14ac:dyDescent="0.25">
      <c r="A874" s="583"/>
      <c r="B874" s="242">
        <v>3518</v>
      </c>
      <c r="C874" s="243" t="s">
        <v>583</v>
      </c>
      <c r="D874" s="244" t="s">
        <v>572</v>
      </c>
      <c r="E874" s="323">
        <f>1*E870</f>
        <v>1</v>
      </c>
      <c r="F874" s="324">
        <v>1.62</v>
      </c>
      <c r="G874" s="210">
        <f t="shared" si="110"/>
        <v>1.62</v>
      </c>
      <c r="H874" s="690"/>
      <c r="J874" s="12"/>
      <c r="K874" s="12"/>
    </row>
    <row r="875" spans="1:11" ht="12" thickBot="1" x14ac:dyDescent="0.3">
      <c r="A875" s="584"/>
      <c r="B875" s="278">
        <v>20083</v>
      </c>
      <c r="C875" s="279" t="s">
        <v>324</v>
      </c>
      <c r="D875" s="280" t="s">
        <v>269</v>
      </c>
      <c r="E875" s="322">
        <f>0.007*E870</f>
        <v>7.0000000000000001E-3</v>
      </c>
      <c r="F875" s="282">
        <v>35.64</v>
      </c>
      <c r="G875" s="283">
        <f t="shared" si="110"/>
        <v>0.25</v>
      </c>
      <c r="H875" s="684"/>
      <c r="J875" s="12"/>
      <c r="K875" s="12"/>
    </row>
    <row r="876" spans="1:11" ht="22.5" customHeight="1" thickBot="1" x14ac:dyDescent="0.3">
      <c r="A876" s="582" t="s">
        <v>1089</v>
      </c>
      <c r="B876" s="306">
        <v>72559</v>
      </c>
      <c r="C876" s="66" t="s">
        <v>584</v>
      </c>
      <c r="D876" s="67" t="s">
        <v>269</v>
      </c>
      <c r="E876" s="108">
        <v>1</v>
      </c>
      <c r="F876" s="30">
        <f>SUM(G877:G881)/E876</f>
        <v>9.3699999999999992</v>
      </c>
      <c r="G876" s="45">
        <f t="shared" ref="G876:G881" si="111">F876*E876</f>
        <v>9.3699999999999992</v>
      </c>
      <c r="H876" s="64" t="s">
        <v>59</v>
      </c>
      <c r="I876" s="482">
        <v>9.3699999999999992</v>
      </c>
      <c r="J876" s="12"/>
      <c r="K876" s="12"/>
    </row>
    <row r="877" spans="1:11" x14ac:dyDescent="0.25">
      <c r="A877" s="583"/>
      <c r="B877" s="204">
        <v>122</v>
      </c>
      <c r="C877" s="205" t="s">
        <v>323</v>
      </c>
      <c r="D877" s="206" t="s">
        <v>268</v>
      </c>
      <c r="E877" s="241">
        <f>0.0118*E876</f>
        <v>1.18E-2</v>
      </c>
      <c r="F877" s="208">
        <v>30.09</v>
      </c>
      <c r="G877" s="210">
        <f t="shared" si="111"/>
        <v>0.36</v>
      </c>
      <c r="H877" s="277">
        <f>I876-H879</f>
        <v>7.86</v>
      </c>
      <c r="J877" s="12"/>
      <c r="K877" s="12"/>
    </row>
    <row r="878" spans="1:11" ht="22.5" x14ac:dyDescent="0.25">
      <c r="A878" s="583"/>
      <c r="B878" s="429">
        <v>88267</v>
      </c>
      <c r="C878" s="430" t="s">
        <v>755</v>
      </c>
      <c r="D878" s="739" t="s">
        <v>281</v>
      </c>
      <c r="E878" s="379">
        <f>0.249*E876</f>
        <v>0.249</v>
      </c>
      <c r="F878" s="464">
        <v>17.940000000000001</v>
      </c>
      <c r="G878" s="741">
        <f t="shared" si="111"/>
        <v>4.47</v>
      </c>
      <c r="H878" s="64" t="s">
        <v>60</v>
      </c>
      <c r="J878" s="12"/>
      <c r="K878" s="12"/>
    </row>
    <row r="879" spans="1:11" x14ac:dyDescent="0.25">
      <c r="A879" s="583"/>
      <c r="B879" s="429">
        <v>88316</v>
      </c>
      <c r="C879" s="430" t="s">
        <v>690</v>
      </c>
      <c r="D879" s="431" t="s">
        <v>257</v>
      </c>
      <c r="E879" s="432">
        <f>0.25*E876</f>
        <v>0.25</v>
      </c>
      <c r="F879" s="464">
        <v>13.56</v>
      </c>
      <c r="G879" s="434">
        <f>F879*E879</f>
        <v>3.39</v>
      </c>
      <c r="H879" s="277">
        <f>G877+G880+G881</f>
        <v>1.51</v>
      </c>
      <c r="J879" s="12"/>
      <c r="K879" s="12"/>
    </row>
    <row r="880" spans="1:11" ht="22.5" x14ac:dyDescent="0.25">
      <c r="A880" s="583"/>
      <c r="B880" s="242">
        <v>3516</v>
      </c>
      <c r="C880" s="243" t="s">
        <v>585</v>
      </c>
      <c r="D880" s="244" t="s">
        <v>572</v>
      </c>
      <c r="E880" s="323">
        <f>1*E876</f>
        <v>1</v>
      </c>
      <c r="F880" s="324">
        <v>0.97</v>
      </c>
      <c r="G880" s="210">
        <f t="shared" si="111"/>
        <v>0.97</v>
      </c>
      <c r="H880" s="690"/>
      <c r="J880" s="12"/>
      <c r="K880" s="12"/>
    </row>
    <row r="881" spans="1:11" ht="12" thickBot="1" x14ac:dyDescent="0.3">
      <c r="A881" s="584"/>
      <c r="B881" s="278">
        <v>20083</v>
      </c>
      <c r="C881" s="279" t="s">
        <v>324</v>
      </c>
      <c r="D881" s="280" t="s">
        <v>269</v>
      </c>
      <c r="E881" s="322">
        <f>0.005*E876</f>
        <v>5.0000000000000001E-3</v>
      </c>
      <c r="F881" s="282">
        <v>35.64</v>
      </c>
      <c r="G881" s="283">
        <f t="shared" si="111"/>
        <v>0.18</v>
      </c>
      <c r="H881" s="684"/>
      <c r="J881" s="12"/>
      <c r="K881" s="12"/>
    </row>
    <row r="882" spans="1:11" ht="20.25" customHeight="1" thickBot="1" x14ac:dyDescent="0.3">
      <c r="A882" s="582" t="s">
        <v>1090</v>
      </c>
      <c r="B882" s="306">
        <v>72556</v>
      </c>
      <c r="C882" s="66" t="s">
        <v>586</v>
      </c>
      <c r="D882" s="67" t="s">
        <v>269</v>
      </c>
      <c r="E882" s="108">
        <v>1</v>
      </c>
      <c r="F882" s="30">
        <f>SUM(G883:G887)/E882</f>
        <v>19.43</v>
      </c>
      <c r="G882" s="45">
        <f t="shared" ref="G882:G887" si="112">F882*E882</f>
        <v>19.43</v>
      </c>
      <c r="H882" s="64" t="s">
        <v>59</v>
      </c>
      <c r="I882" s="482">
        <v>19.43</v>
      </c>
      <c r="J882" s="12"/>
      <c r="K882" s="12"/>
    </row>
    <row r="883" spans="1:11" x14ac:dyDescent="0.25">
      <c r="A883" s="583"/>
      <c r="B883" s="204">
        <v>122</v>
      </c>
      <c r="C883" s="205" t="s">
        <v>323</v>
      </c>
      <c r="D883" s="206" t="s">
        <v>268</v>
      </c>
      <c r="E883" s="241">
        <f>0.0529*E882</f>
        <v>5.2900000000000003E-2</v>
      </c>
      <c r="F883" s="208">
        <v>30.09</v>
      </c>
      <c r="G883" s="210">
        <f t="shared" si="112"/>
        <v>1.59</v>
      </c>
      <c r="H883" s="277">
        <f>I882-H885</f>
        <v>13.55</v>
      </c>
      <c r="J883" s="12"/>
      <c r="K883" s="12"/>
    </row>
    <row r="884" spans="1:11" ht="22.5" x14ac:dyDescent="0.25">
      <c r="A884" s="583"/>
      <c r="B884" s="32">
        <v>88267</v>
      </c>
      <c r="C884" s="13" t="s">
        <v>755</v>
      </c>
      <c r="D884" s="17" t="s">
        <v>281</v>
      </c>
      <c r="E884" s="379">
        <f>0.4301*E882</f>
        <v>0.43009999999999998</v>
      </c>
      <c r="F884" s="18">
        <v>17.940000000000001</v>
      </c>
      <c r="G884" s="70">
        <f t="shared" si="112"/>
        <v>7.72</v>
      </c>
      <c r="H884" s="64" t="s">
        <v>60</v>
      </c>
      <c r="J884" s="12"/>
      <c r="K884" s="12"/>
    </row>
    <row r="885" spans="1:11" x14ac:dyDescent="0.25">
      <c r="A885" s="583"/>
      <c r="B885" s="32">
        <v>88316</v>
      </c>
      <c r="C885" s="13" t="s">
        <v>690</v>
      </c>
      <c r="D885" s="14" t="s">
        <v>257</v>
      </c>
      <c r="E885" s="22">
        <f>0.43*E882</f>
        <v>0.43</v>
      </c>
      <c r="F885" s="18">
        <v>13.56</v>
      </c>
      <c r="G885" s="33">
        <f>F885*E885</f>
        <v>5.83</v>
      </c>
      <c r="H885" s="277">
        <f>G883+G886+G887</f>
        <v>5.88</v>
      </c>
      <c r="J885" s="12"/>
      <c r="K885" s="12"/>
    </row>
    <row r="886" spans="1:11" x14ac:dyDescent="0.25">
      <c r="A886" s="583"/>
      <c r="B886" s="242">
        <v>3520</v>
      </c>
      <c r="C886" s="243" t="s">
        <v>788</v>
      </c>
      <c r="D886" s="244" t="s">
        <v>572</v>
      </c>
      <c r="E886" s="323">
        <f>1*E882</f>
        <v>1</v>
      </c>
      <c r="F886" s="324">
        <v>4.18</v>
      </c>
      <c r="G886" s="210">
        <f t="shared" si="112"/>
        <v>4.18</v>
      </c>
      <c r="H886" s="690"/>
      <c r="J886" s="12"/>
      <c r="K886" s="12"/>
    </row>
    <row r="887" spans="1:11" ht="12" thickBot="1" x14ac:dyDescent="0.3">
      <c r="A887" s="584"/>
      <c r="B887" s="278">
        <v>20083</v>
      </c>
      <c r="C887" s="279" t="s">
        <v>324</v>
      </c>
      <c r="D887" s="280" t="s">
        <v>269</v>
      </c>
      <c r="E887" s="322">
        <f>0.003*E882</f>
        <v>3.0000000000000001E-3</v>
      </c>
      <c r="F887" s="282">
        <v>35.64</v>
      </c>
      <c r="G887" s="283">
        <f t="shared" si="112"/>
        <v>0.11</v>
      </c>
      <c r="H887" s="684"/>
      <c r="J887" s="12"/>
      <c r="K887" s="12"/>
    </row>
    <row r="888" spans="1:11" ht="21.75" customHeight="1" thickBot="1" x14ac:dyDescent="0.3">
      <c r="A888" s="582" t="s">
        <v>1091</v>
      </c>
      <c r="B888" s="306">
        <v>72560</v>
      </c>
      <c r="C888" s="66" t="s">
        <v>587</v>
      </c>
      <c r="D888" s="67" t="s">
        <v>269</v>
      </c>
      <c r="E888" s="108">
        <v>1</v>
      </c>
      <c r="F888" s="30">
        <f>SUM(G889:G893)/E888</f>
        <v>10.53</v>
      </c>
      <c r="G888" s="45">
        <f t="shared" ref="G888:G893" si="113">F888*E888</f>
        <v>10.53</v>
      </c>
      <c r="H888" s="64" t="s">
        <v>59</v>
      </c>
      <c r="I888" s="482">
        <v>10.53</v>
      </c>
      <c r="J888" s="12"/>
      <c r="K888" s="12"/>
    </row>
    <row r="889" spans="1:11" x14ac:dyDescent="0.25">
      <c r="A889" s="583"/>
      <c r="B889" s="204">
        <v>122</v>
      </c>
      <c r="C889" s="205" t="s">
        <v>323</v>
      </c>
      <c r="D889" s="206" t="s">
        <v>268</v>
      </c>
      <c r="E889" s="241">
        <f>0.0176*E888</f>
        <v>1.7600000000000001E-2</v>
      </c>
      <c r="F889" s="208">
        <v>30.09</v>
      </c>
      <c r="G889" s="210">
        <f t="shared" si="113"/>
        <v>0.53</v>
      </c>
      <c r="H889" s="277">
        <f>I888-H891</f>
        <v>8.49</v>
      </c>
      <c r="J889" s="12"/>
      <c r="K889" s="12"/>
    </row>
    <row r="890" spans="1:11" ht="22.5" x14ac:dyDescent="0.25">
      <c r="A890" s="583"/>
      <c r="B890" s="32">
        <v>88267</v>
      </c>
      <c r="C890" s="13" t="s">
        <v>755</v>
      </c>
      <c r="D890" s="17" t="s">
        <v>281</v>
      </c>
      <c r="E890" s="379">
        <f>0.269*E888</f>
        <v>0.26900000000000002</v>
      </c>
      <c r="F890" s="18">
        <v>17.940000000000001</v>
      </c>
      <c r="G890" s="70">
        <f t="shared" si="113"/>
        <v>4.83</v>
      </c>
      <c r="H890" s="64" t="s">
        <v>60</v>
      </c>
      <c r="J890" s="12"/>
      <c r="K890" s="12"/>
    </row>
    <row r="891" spans="1:11" x14ac:dyDescent="0.25">
      <c r="A891" s="583"/>
      <c r="B891" s="32">
        <v>88316</v>
      </c>
      <c r="C891" s="13" t="s">
        <v>690</v>
      </c>
      <c r="D891" s="14" t="s">
        <v>257</v>
      </c>
      <c r="E891" s="22">
        <f>0.27*E888</f>
        <v>0.27</v>
      </c>
      <c r="F891" s="18">
        <v>13.56</v>
      </c>
      <c r="G891" s="33">
        <f>F891*E891</f>
        <v>3.66</v>
      </c>
      <c r="H891" s="277">
        <f>G889+G892+G893</f>
        <v>2.04</v>
      </c>
      <c r="J891" s="12"/>
      <c r="K891" s="12"/>
    </row>
    <row r="892" spans="1:11" x14ac:dyDescent="0.25">
      <c r="A892" s="583"/>
      <c r="B892" s="242">
        <v>3526</v>
      </c>
      <c r="C892" s="243" t="s">
        <v>789</v>
      </c>
      <c r="D892" s="244" t="s">
        <v>572</v>
      </c>
      <c r="E892" s="323">
        <f>1*E888</f>
        <v>1</v>
      </c>
      <c r="F892" s="324">
        <v>1.26</v>
      </c>
      <c r="G892" s="210">
        <f t="shared" si="113"/>
        <v>1.26</v>
      </c>
      <c r="H892" s="690"/>
      <c r="J892" s="12"/>
      <c r="K892" s="12"/>
    </row>
    <row r="893" spans="1:11" ht="12" thickBot="1" x14ac:dyDescent="0.3">
      <c r="A893" s="584"/>
      <c r="B893" s="278">
        <v>20083</v>
      </c>
      <c r="C893" s="279" t="s">
        <v>324</v>
      </c>
      <c r="D893" s="280" t="s">
        <v>269</v>
      </c>
      <c r="E893" s="322">
        <f>0.007*E888</f>
        <v>7.0000000000000001E-3</v>
      </c>
      <c r="F893" s="282">
        <v>35.64</v>
      </c>
      <c r="G893" s="283">
        <f t="shared" si="113"/>
        <v>0.25</v>
      </c>
      <c r="H893" s="684"/>
      <c r="J893" s="12"/>
      <c r="K893" s="12"/>
    </row>
    <row r="894" spans="1:11" ht="23.25" customHeight="1" thickBot="1" x14ac:dyDescent="0.3">
      <c r="A894" s="582" t="s">
        <v>1092</v>
      </c>
      <c r="B894" s="306">
        <v>72558</v>
      </c>
      <c r="C894" s="66" t="s">
        <v>588</v>
      </c>
      <c r="D894" s="67" t="s">
        <v>269</v>
      </c>
      <c r="E894" s="108">
        <v>1</v>
      </c>
      <c r="F894" s="30">
        <f>SUM(G895:G899)/E894</f>
        <v>9.23</v>
      </c>
      <c r="G894" s="45">
        <f t="shared" ref="G894:G899" si="114">F894*E894</f>
        <v>9.23</v>
      </c>
      <c r="H894" s="64" t="s">
        <v>59</v>
      </c>
      <c r="I894" s="482">
        <v>9.23</v>
      </c>
      <c r="J894" s="12"/>
      <c r="K894" s="12"/>
    </row>
    <row r="895" spans="1:11" x14ac:dyDescent="0.25">
      <c r="A895" s="583"/>
      <c r="B895" s="204">
        <v>122</v>
      </c>
      <c r="C895" s="205" t="s">
        <v>323</v>
      </c>
      <c r="D895" s="206" t="s">
        <v>268</v>
      </c>
      <c r="E895" s="241">
        <f>0.0118*E894</f>
        <v>1.18E-2</v>
      </c>
      <c r="F895" s="208">
        <v>30.09</v>
      </c>
      <c r="G895" s="210">
        <f t="shared" si="114"/>
        <v>0.36</v>
      </c>
      <c r="H895" s="277">
        <f>I894-H897</f>
        <v>7.86</v>
      </c>
      <c r="J895" s="12"/>
      <c r="K895" s="12"/>
    </row>
    <row r="896" spans="1:11" ht="22.5" x14ac:dyDescent="0.25">
      <c r="A896" s="583"/>
      <c r="B896" s="32">
        <v>88267</v>
      </c>
      <c r="C896" s="13" t="s">
        <v>755</v>
      </c>
      <c r="D896" s="17" t="s">
        <v>281</v>
      </c>
      <c r="E896" s="379">
        <f>0.249*E894</f>
        <v>0.249</v>
      </c>
      <c r="F896" s="18">
        <v>17.940000000000001</v>
      </c>
      <c r="G896" s="70">
        <f t="shared" si="114"/>
        <v>4.47</v>
      </c>
      <c r="H896" s="64" t="s">
        <v>60</v>
      </c>
      <c r="J896" s="12"/>
      <c r="K896" s="12"/>
    </row>
    <row r="897" spans="1:11" x14ac:dyDescent="0.25">
      <c r="A897" s="583"/>
      <c r="B897" s="32">
        <v>88316</v>
      </c>
      <c r="C897" s="13" t="s">
        <v>690</v>
      </c>
      <c r="D897" s="14" t="s">
        <v>257</v>
      </c>
      <c r="E897" s="22">
        <f>0.25*E894</f>
        <v>0.25</v>
      </c>
      <c r="F897" s="18">
        <v>13.56</v>
      </c>
      <c r="G897" s="33">
        <f>F897*E897</f>
        <v>3.39</v>
      </c>
      <c r="H897" s="277">
        <f>G895+G898+G899</f>
        <v>1.37</v>
      </c>
      <c r="J897" s="12"/>
      <c r="K897" s="12"/>
    </row>
    <row r="898" spans="1:11" ht="22.5" x14ac:dyDescent="0.25">
      <c r="A898" s="583"/>
      <c r="B898" s="242">
        <v>3517</v>
      </c>
      <c r="C898" s="243" t="s">
        <v>589</v>
      </c>
      <c r="D898" s="244" t="s">
        <v>572</v>
      </c>
      <c r="E898" s="323">
        <f>1*E894</f>
        <v>1</v>
      </c>
      <c r="F898" s="324">
        <v>0.83</v>
      </c>
      <c r="G898" s="210">
        <f t="shared" si="114"/>
        <v>0.83</v>
      </c>
      <c r="H898" s="690"/>
      <c r="J898" s="12"/>
      <c r="K898" s="12"/>
    </row>
    <row r="899" spans="1:11" ht="12" thickBot="1" x14ac:dyDescent="0.3">
      <c r="A899" s="584"/>
      <c r="B899" s="278">
        <v>20083</v>
      </c>
      <c r="C899" s="279" t="s">
        <v>324</v>
      </c>
      <c r="D899" s="280" t="s">
        <v>269</v>
      </c>
      <c r="E899" s="322">
        <f>0.005*E894</f>
        <v>5.0000000000000001E-3</v>
      </c>
      <c r="F899" s="282">
        <v>35.64</v>
      </c>
      <c r="G899" s="283">
        <f t="shared" si="114"/>
        <v>0.18</v>
      </c>
      <c r="H899" s="684"/>
      <c r="J899" s="12"/>
      <c r="K899" s="12"/>
    </row>
    <row r="900" spans="1:11" ht="22.5" customHeight="1" thickBot="1" x14ac:dyDescent="0.3">
      <c r="A900" s="582" t="s">
        <v>1093</v>
      </c>
      <c r="B900" s="306">
        <v>72774</v>
      </c>
      <c r="C900" s="66" t="s">
        <v>1273</v>
      </c>
      <c r="D900" s="67" t="s">
        <v>269</v>
      </c>
      <c r="E900" s="108">
        <v>1</v>
      </c>
      <c r="F900" s="30">
        <f>SUM(G901:G905)/E900</f>
        <v>26.47</v>
      </c>
      <c r="G900" s="45">
        <f t="shared" ref="G900:G905" si="115">F900*E900</f>
        <v>26.47</v>
      </c>
      <c r="H900" s="64" t="s">
        <v>59</v>
      </c>
      <c r="I900" s="482">
        <v>26.47</v>
      </c>
      <c r="J900" s="12"/>
      <c r="K900" s="12"/>
    </row>
    <row r="901" spans="1:11" x14ac:dyDescent="0.25">
      <c r="A901" s="583"/>
      <c r="B901" s="204">
        <v>122</v>
      </c>
      <c r="C901" s="205" t="s">
        <v>323</v>
      </c>
      <c r="D901" s="206" t="s">
        <v>268</v>
      </c>
      <c r="E901" s="241">
        <f>0.0676*E900</f>
        <v>6.7599999999999993E-2</v>
      </c>
      <c r="F901" s="208">
        <v>30.09</v>
      </c>
      <c r="G901" s="210">
        <f t="shared" si="115"/>
        <v>2.0299999999999998</v>
      </c>
      <c r="H901" s="277">
        <f>I900-H903</f>
        <v>15.17</v>
      </c>
      <c r="J901" s="12"/>
      <c r="K901" s="12"/>
    </row>
    <row r="902" spans="1:11" ht="22.5" x14ac:dyDescent="0.25">
      <c r="A902" s="583"/>
      <c r="B902" s="32">
        <v>88267</v>
      </c>
      <c r="C902" s="13" t="s">
        <v>755</v>
      </c>
      <c r="D902" s="17" t="s">
        <v>281</v>
      </c>
      <c r="E902" s="379">
        <f>0.473*E900</f>
        <v>0.47299999999999998</v>
      </c>
      <c r="F902" s="18">
        <v>17.940000000000001</v>
      </c>
      <c r="G902" s="70">
        <f t="shared" si="115"/>
        <v>8.49</v>
      </c>
      <c r="H902" s="64" t="s">
        <v>60</v>
      </c>
      <c r="J902" s="12"/>
      <c r="K902" s="12"/>
    </row>
    <row r="903" spans="1:11" ht="22.5" x14ac:dyDescent="0.25">
      <c r="A903" s="583"/>
      <c r="B903" s="32">
        <v>88248</v>
      </c>
      <c r="C903" s="13" t="s">
        <v>756</v>
      </c>
      <c r="D903" s="14" t="s">
        <v>257</v>
      </c>
      <c r="E903" s="22">
        <f>0.472*E900</f>
        <v>0.47199999999999998</v>
      </c>
      <c r="F903" s="15">
        <v>14.16</v>
      </c>
      <c r="G903" s="33">
        <f>F903*E903</f>
        <v>6.68</v>
      </c>
      <c r="H903" s="277">
        <f>G901+G904+G905</f>
        <v>11.3</v>
      </c>
      <c r="J903" s="12"/>
      <c r="K903" s="12"/>
    </row>
    <row r="904" spans="1:11" x14ac:dyDescent="0.25">
      <c r="A904" s="583"/>
      <c r="B904" s="242">
        <v>3659</v>
      </c>
      <c r="C904" s="243" t="s">
        <v>791</v>
      </c>
      <c r="D904" s="244" t="s">
        <v>572</v>
      </c>
      <c r="E904" s="323">
        <f>1*E900</f>
        <v>1</v>
      </c>
      <c r="F904" s="324">
        <v>6.02</v>
      </c>
      <c r="G904" s="210">
        <f t="shared" si="115"/>
        <v>6.02</v>
      </c>
      <c r="H904" s="690"/>
      <c r="J904" s="12"/>
      <c r="K904" s="12"/>
    </row>
    <row r="905" spans="1:11" ht="12" thickBot="1" x14ac:dyDescent="0.3">
      <c r="A905" s="584"/>
      <c r="B905" s="278">
        <v>20083</v>
      </c>
      <c r="C905" s="279" t="s">
        <v>324</v>
      </c>
      <c r="D905" s="280" t="s">
        <v>269</v>
      </c>
      <c r="E905" s="322">
        <f>0.0911*E900</f>
        <v>9.11E-2</v>
      </c>
      <c r="F905" s="282">
        <v>35.64</v>
      </c>
      <c r="G905" s="283">
        <f t="shared" si="115"/>
        <v>3.25</v>
      </c>
      <c r="H905" s="684"/>
      <c r="J905" s="12"/>
      <c r="K905" s="12"/>
    </row>
    <row r="906" spans="1:11" ht="23.25" customHeight="1" thickBot="1" x14ac:dyDescent="0.3">
      <c r="A906" s="582" t="s">
        <v>1094</v>
      </c>
      <c r="B906" s="306">
        <v>72775</v>
      </c>
      <c r="C906" s="66" t="s">
        <v>1274</v>
      </c>
      <c r="D906" s="67" t="s">
        <v>269</v>
      </c>
      <c r="E906" s="108">
        <v>1</v>
      </c>
      <c r="F906" s="30">
        <f>SUM(G907:G911)/E906</f>
        <v>32.770000000000003</v>
      </c>
      <c r="G906" s="45">
        <f t="shared" ref="G906:G911" si="116">F906*E906</f>
        <v>32.770000000000003</v>
      </c>
      <c r="H906" s="64" t="s">
        <v>59</v>
      </c>
      <c r="I906" s="482">
        <v>32.770000000000003</v>
      </c>
      <c r="J906" s="12"/>
      <c r="K906" s="12"/>
    </row>
    <row r="907" spans="1:11" x14ac:dyDescent="0.25">
      <c r="A907" s="583"/>
      <c r="B907" s="204">
        <v>122</v>
      </c>
      <c r="C907" s="205" t="s">
        <v>323</v>
      </c>
      <c r="D907" s="206" t="s">
        <v>268</v>
      </c>
      <c r="E907" s="241">
        <f>0.0788*E906</f>
        <v>7.8799999999999995E-2</v>
      </c>
      <c r="F907" s="208">
        <v>30.09</v>
      </c>
      <c r="G907" s="210">
        <f t="shared" si="116"/>
        <v>2.37</v>
      </c>
      <c r="H907" s="277">
        <f>I906-H909</f>
        <v>16.2</v>
      </c>
      <c r="J907" s="12"/>
      <c r="K907" s="12"/>
    </row>
    <row r="908" spans="1:11" ht="22.5" x14ac:dyDescent="0.25">
      <c r="A908" s="583"/>
      <c r="B908" s="32">
        <v>88267</v>
      </c>
      <c r="C908" s="13" t="s">
        <v>755</v>
      </c>
      <c r="D908" s="17" t="s">
        <v>281</v>
      </c>
      <c r="E908" s="379">
        <f>0.505*E906</f>
        <v>0.505</v>
      </c>
      <c r="F908" s="18">
        <v>17.940000000000001</v>
      </c>
      <c r="G908" s="70">
        <f t="shared" si="116"/>
        <v>9.06</v>
      </c>
      <c r="H908" s="64" t="s">
        <v>60</v>
      </c>
      <c r="J908" s="12"/>
      <c r="K908" s="12"/>
    </row>
    <row r="909" spans="1:11" ht="22.5" x14ac:dyDescent="0.25">
      <c r="A909" s="583"/>
      <c r="B909" s="32">
        <v>88248</v>
      </c>
      <c r="C909" s="13" t="s">
        <v>756</v>
      </c>
      <c r="D909" s="14" t="s">
        <v>257</v>
      </c>
      <c r="E909" s="22">
        <f>0.504*E906</f>
        <v>0.504</v>
      </c>
      <c r="F909" s="15">
        <v>14.16</v>
      </c>
      <c r="G909" s="33">
        <f>F909*E909</f>
        <v>7.14</v>
      </c>
      <c r="H909" s="277">
        <f>G907+G910+G911</f>
        <v>16.57</v>
      </c>
      <c r="J909" s="12"/>
      <c r="K909" s="12"/>
    </row>
    <row r="910" spans="1:11" ht="22.5" x14ac:dyDescent="0.25">
      <c r="A910" s="583"/>
      <c r="B910" s="242">
        <v>3660</v>
      </c>
      <c r="C910" s="243" t="s">
        <v>590</v>
      </c>
      <c r="D910" s="244" t="s">
        <v>572</v>
      </c>
      <c r="E910" s="323">
        <f>1*E906</f>
        <v>1</v>
      </c>
      <c r="F910" s="324">
        <v>10.64</v>
      </c>
      <c r="G910" s="210">
        <f t="shared" si="116"/>
        <v>10.64</v>
      </c>
      <c r="H910" s="690"/>
      <c r="J910" s="12"/>
      <c r="K910" s="12"/>
    </row>
    <row r="911" spans="1:11" ht="12" thickBot="1" x14ac:dyDescent="0.3">
      <c r="A911" s="584"/>
      <c r="B911" s="278">
        <v>20083</v>
      </c>
      <c r="C911" s="279" t="s">
        <v>324</v>
      </c>
      <c r="D911" s="280" t="s">
        <v>269</v>
      </c>
      <c r="E911" s="322">
        <f>0.1*E906</f>
        <v>0.1</v>
      </c>
      <c r="F911" s="282">
        <v>35.64</v>
      </c>
      <c r="G911" s="283">
        <f t="shared" si="116"/>
        <v>3.56</v>
      </c>
      <c r="H911" s="684"/>
      <c r="J911" s="12"/>
      <c r="K911" s="12"/>
    </row>
    <row r="912" spans="1:11" ht="21.75" customHeight="1" thickBot="1" x14ac:dyDescent="0.3">
      <c r="A912" s="582" t="s">
        <v>1095</v>
      </c>
      <c r="B912" s="306">
        <v>72603</v>
      </c>
      <c r="C912" s="66" t="s">
        <v>1275</v>
      </c>
      <c r="D912" s="67" t="s">
        <v>269</v>
      </c>
      <c r="E912" s="108">
        <v>1</v>
      </c>
      <c r="F912" s="30">
        <f>SUM(G913:G917)/E912</f>
        <v>25.48</v>
      </c>
      <c r="G912" s="45">
        <f t="shared" ref="G912:G917" si="117">F912*E912</f>
        <v>25.48</v>
      </c>
      <c r="H912" s="64" t="s">
        <v>59</v>
      </c>
      <c r="I912" s="482">
        <v>25.48</v>
      </c>
      <c r="J912" s="12"/>
      <c r="K912" s="12"/>
    </row>
    <row r="913" spans="1:11" x14ac:dyDescent="0.25">
      <c r="A913" s="583"/>
      <c r="B913" s="204">
        <v>122</v>
      </c>
      <c r="C913" s="205" t="s">
        <v>323</v>
      </c>
      <c r="D913" s="206" t="s">
        <v>268</v>
      </c>
      <c r="E913" s="241">
        <f>0.0765*E912</f>
        <v>7.6499999999999999E-2</v>
      </c>
      <c r="F913" s="208">
        <v>30.09</v>
      </c>
      <c r="G913" s="210">
        <f t="shared" si="117"/>
        <v>2.2999999999999998</v>
      </c>
      <c r="H913" s="277">
        <f>I912-H915</f>
        <v>12.58</v>
      </c>
      <c r="J913" s="12"/>
      <c r="K913" s="12"/>
    </row>
    <row r="914" spans="1:11" ht="22.5" x14ac:dyDescent="0.25">
      <c r="A914" s="583"/>
      <c r="B914" s="32">
        <v>88267</v>
      </c>
      <c r="C914" s="13" t="s">
        <v>755</v>
      </c>
      <c r="D914" s="14" t="s">
        <v>257</v>
      </c>
      <c r="E914" s="22">
        <f>0.399*E912</f>
        <v>0.39900000000000002</v>
      </c>
      <c r="F914" s="18">
        <v>17.940000000000001</v>
      </c>
      <c r="G914" s="33">
        <f>F914*E914</f>
        <v>7.16</v>
      </c>
      <c r="H914" s="64" t="s">
        <v>60</v>
      </c>
      <c r="J914" s="12"/>
      <c r="K914" s="12"/>
    </row>
    <row r="915" spans="1:11" x14ac:dyDescent="0.25">
      <c r="A915" s="583"/>
      <c r="B915" s="32">
        <v>88316</v>
      </c>
      <c r="C915" s="13" t="s">
        <v>690</v>
      </c>
      <c r="D915" s="14" t="s">
        <v>257</v>
      </c>
      <c r="E915" s="22">
        <f>0.4*E912</f>
        <v>0.4</v>
      </c>
      <c r="F915" s="18">
        <v>13.56</v>
      </c>
      <c r="G915" s="33">
        <f>F915*E915</f>
        <v>5.42</v>
      </c>
      <c r="H915" s="277">
        <f>G913+G916+G917</f>
        <v>12.9</v>
      </c>
      <c r="J915" s="12"/>
      <c r="K915" s="12"/>
    </row>
    <row r="916" spans="1:11" ht="22.5" x14ac:dyDescent="0.25">
      <c r="A916" s="583"/>
      <c r="B916" s="242">
        <v>3670</v>
      </c>
      <c r="C916" s="243" t="s">
        <v>591</v>
      </c>
      <c r="D916" s="244" t="s">
        <v>572</v>
      </c>
      <c r="E916" s="323">
        <f>1*E912</f>
        <v>1</v>
      </c>
      <c r="F916" s="324">
        <v>10.24</v>
      </c>
      <c r="G916" s="210">
        <f t="shared" si="117"/>
        <v>10.24</v>
      </c>
      <c r="H916" s="690"/>
      <c r="J916" s="12"/>
      <c r="K916" s="12"/>
    </row>
    <row r="917" spans="1:11" ht="12" thickBot="1" x14ac:dyDescent="0.3">
      <c r="A917" s="584"/>
      <c r="B917" s="278">
        <v>20083</v>
      </c>
      <c r="C917" s="279" t="s">
        <v>324</v>
      </c>
      <c r="D917" s="280" t="s">
        <v>269</v>
      </c>
      <c r="E917" s="322">
        <f>0.01*E912</f>
        <v>0.01</v>
      </c>
      <c r="F917" s="282">
        <v>35.64</v>
      </c>
      <c r="G917" s="283">
        <f t="shared" si="117"/>
        <v>0.36</v>
      </c>
      <c r="H917" s="684"/>
      <c r="J917" s="12"/>
      <c r="K917" s="12"/>
    </row>
    <row r="918" spans="1:11" ht="22.5" customHeight="1" thickBot="1" x14ac:dyDescent="0.3">
      <c r="A918" s="582" t="s">
        <v>1096</v>
      </c>
      <c r="B918" s="306">
        <v>72604</v>
      </c>
      <c r="C918" s="66" t="s">
        <v>1276</v>
      </c>
      <c r="D918" s="67" t="s">
        <v>269</v>
      </c>
      <c r="E918" s="108">
        <v>1</v>
      </c>
      <c r="F918" s="30">
        <f>SUM(G919:G923)/E918</f>
        <v>12.25</v>
      </c>
      <c r="G918" s="45">
        <f t="shared" ref="G918:G923" si="118">F918*E918</f>
        <v>12.25</v>
      </c>
      <c r="H918" s="64" t="s">
        <v>59</v>
      </c>
      <c r="I918" s="482">
        <v>12.25</v>
      </c>
      <c r="J918" s="12"/>
      <c r="K918" s="12"/>
    </row>
    <row r="919" spans="1:11" x14ac:dyDescent="0.25">
      <c r="A919" s="583"/>
      <c r="B919" s="204">
        <v>122</v>
      </c>
      <c r="C919" s="205" t="s">
        <v>323</v>
      </c>
      <c r="D919" s="206" t="s">
        <v>268</v>
      </c>
      <c r="E919" s="241">
        <f>0.0141*E918</f>
        <v>1.41E-2</v>
      </c>
      <c r="F919" s="208">
        <v>30.09</v>
      </c>
      <c r="G919" s="210">
        <f t="shared" si="118"/>
        <v>0.42</v>
      </c>
      <c r="H919" s="277">
        <f>I918-H921</f>
        <v>7.87</v>
      </c>
      <c r="J919" s="12"/>
      <c r="K919" s="12"/>
    </row>
    <row r="920" spans="1:11" ht="22.5" x14ac:dyDescent="0.25">
      <c r="A920" s="583"/>
      <c r="B920" s="32">
        <v>88267</v>
      </c>
      <c r="C920" s="13" t="s">
        <v>755</v>
      </c>
      <c r="D920" s="14" t="s">
        <v>257</v>
      </c>
      <c r="E920" s="22">
        <f>0.2495*E918</f>
        <v>0.2495</v>
      </c>
      <c r="F920" s="18">
        <v>17.940000000000001</v>
      </c>
      <c r="G920" s="33">
        <f>F920*E920</f>
        <v>4.4800000000000004</v>
      </c>
      <c r="H920" s="64" t="s">
        <v>60</v>
      </c>
      <c r="J920" s="12"/>
      <c r="K920" s="12"/>
    </row>
    <row r="921" spans="1:11" x14ac:dyDescent="0.25">
      <c r="A921" s="583"/>
      <c r="B921" s="32">
        <v>88316</v>
      </c>
      <c r="C921" s="13" t="s">
        <v>690</v>
      </c>
      <c r="D921" s="14" t="s">
        <v>257</v>
      </c>
      <c r="E921" s="22">
        <f>0.25*E918</f>
        <v>0.25</v>
      </c>
      <c r="F921" s="18">
        <v>13.56</v>
      </c>
      <c r="G921" s="33">
        <f>F921*E921</f>
        <v>3.39</v>
      </c>
      <c r="H921" s="277">
        <f>G919+G922+G923</f>
        <v>4.38</v>
      </c>
      <c r="J921" s="12"/>
      <c r="K921" s="12"/>
    </row>
    <row r="922" spans="1:11" ht="22.5" x14ac:dyDescent="0.25">
      <c r="A922" s="583"/>
      <c r="B922" s="242">
        <v>3662</v>
      </c>
      <c r="C922" s="243" t="s">
        <v>592</v>
      </c>
      <c r="D922" s="244" t="s">
        <v>572</v>
      </c>
      <c r="E922" s="323">
        <f>1*E918</f>
        <v>1</v>
      </c>
      <c r="F922" s="324">
        <v>3.89</v>
      </c>
      <c r="G922" s="210">
        <f t="shared" si="118"/>
        <v>3.89</v>
      </c>
      <c r="H922" s="690"/>
      <c r="J922" s="12"/>
      <c r="K922" s="12"/>
    </row>
    <row r="923" spans="1:11" ht="12" thickBot="1" x14ac:dyDescent="0.3">
      <c r="A923" s="584"/>
      <c r="B923" s="278">
        <v>20083</v>
      </c>
      <c r="C923" s="279" t="s">
        <v>324</v>
      </c>
      <c r="D923" s="280" t="s">
        <v>269</v>
      </c>
      <c r="E923" s="322">
        <f>0.002*E918</f>
        <v>2E-3</v>
      </c>
      <c r="F923" s="282">
        <v>35.64</v>
      </c>
      <c r="G923" s="283">
        <f t="shared" si="118"/>
        <v>7.0000000000000007E-2</v>
      </c>
      <c r="H923" s="684"/>
      <c r="J923" s="12"/>
      <c r="K923" s="12"/>
    </row>
    <row r="924" spans="1:11" ht="22.5" customHeight="1" thickBot="1" x14ac:dyDescent="0.3">
      <c r="A924" s="582" t="s">
        <v>1097</v>
      </c>
      <c r="B924" s="306">
        <v>72773</v>
      </c>
      <c r="C924" s="66" t="s">
        <v>1277</v>
      </c>
      <c r="D924" s="67" t="s">
        <v>269</v>
      </c>
      <c r="E924" s="108">
        <v>1</v>
      </c>
      <c r="F924" s="30">
        <f>SUM(G925:G929)/E924</f>
        <v>22.24</v>
      </c>
      <c r="G924" s="45">
        <f t="shared" ref="G924:G929" si="119">F924*E924</f>
        <v>22.24</v>
      </c>
      <c r="H924" s="64" t="s">
        <v>59</v>
      </c>
      <c r="I924" s="482">
        <v>22.24</v>
      </c>
      <c r="J924" s="12"/>
      <c r="K924" s="12"/>
    </row>
    <row r="925" spans="1:11" x14ac:dyDescent="0.25">
      <c r="A925" s="583"/>
      <c r="B925" s="204">
        <v>122</v>
      </c>
      <c r="C925" s="205" t="s">
        <v>323</v>
      </c>
      <c r="D925" s="206" t="s">
        <v>268</v>
      </c>
      <c r="E925" s="241">
        <f>0.0488*E924</f>
        <v>4.8800000000000003E-2</v>
      </c>
      <c r="F925" s="208">
        <v>30.09</v>
      </c>
      <c r="G925" s="210">
        <f t="shared" si="119"/>
        <v>1.47</v>
      </c>
      <c r="H925" s="277">
        <f>I924-H927</f>
        <v>12.86</v>
      </c>
      <c r="J925" s="12"/>
      <c r="K925" s="12"/>
    </row>
    <row r="926" spans="1:11" ht="22.5" x14ac:dyDescent="0.25">
      <c r="A926" s="583"/>
      <c r="B926" s="32">
        <v>88267</v>
      </c>
      <c r="C926" s="13" t="s">
        <v>755</v>
      </c>
      <c r="D926" s="17" t="s">
        <v>281</v>
      </c>
      <c r="E926" s="379">
        <f>0.4006*E924</f>
        <v>0.40060000000000001</v>
      </c>
      <c r="F926" s="18">
        <v>17.940000000000001</v>
      </c>
      <c r="G926" s="70">
        <f t="shared" si="119"/>
        <v>7.19</v>
      </c>
      <c r="H926" s="64" t="s">
        <v>60</v>
      </c>
      <c r="J926" s="12"/>
      <c r="K926" s="12"/>
    </row>
    <row r="927" spans="1:11" ht="22.5" x14ac:dyDescent="0.25">
      <c r="A927" s="583"/>
      <c r="B927" s="32">
        <v>88248</v>
      </c>
      <c r="C927" s="13" t="s">
        <v>756</v>
      </c>
      <c r="D927" s="14" t="s">
        <v>257</v>
      </c>
      <c r="E927" s="22">
        <f>0.4006*E924</f>
        <v>0.40060000000000001</v>
      </c>
      <c r="F927" s="15">
        <v>14.16</v>
      </c>
      <c r="G927" s="33">
        <f>F927*E927</f>
        <v>5.67</v>
      </c>
      <c r="H927" s="277">
        <f>G925+G928+G929</f>
        <v>9.3800000000000008</v>
      </c>
      <c r="J927" s="12"/>
      <c r="K927" s="12"/>
    </row>
    <row r="928" spans="1:11" ht="22.5" x14ac:dyDescent="0.25">
      <c r="A928" s="583"/>
      <c r="B928" s="242">
        <v>3661</v>
      </c>
      <c r="C928" s="243" t="s">
        <v>593</v>
      </c>
      <c r="D928" s="244" t="s">
        <v>572</v>
      </c>
      <c r="E928" s="323">
        <f>1*E924</f>
        <v>1</v>
      </c>
      <c r="F928" s="324">
        <v>6.09</v>
      </c>
      <c r="G928" s="210">
        <f t="shared" si="119"/>
        <v>6.09</v>
      </c>
      <c r="H928" s="690"/>
      <c r="J928" s="12"/>
      <c r="K928" s="12"/>
    </row>
    <row r="929" spans="1:11" ht="12" thickBot="1" x14ac:dyDescent="0.3">
      <c r="A929" s="584"/>
      <c r="B929" s="278">
        <v>20083</v>
      </c>
      <c r="C929" s="279" t="s">
        <v>324</v>
      </c>
      <c r="D929" s="280" t="s">
        <v>269</v>
      </c>
      <c r="E929" s="322">
        <f>0.0511*E924</f>
        <v>5.11E-2</v>
      </c>
      <c r="F929" s="282">
        <v>35.64</v>
      </c>
      <c r="G929" s="283">
        <f t="shared" si="119"/>
        <v>1.82</v>
      </c>
      <c r="H929" s="684"/>
      <c r="J929" s="12"/>
      <c r="K929" s="12"/>
    </row>
    <row r="930" spans="1:11" ht="12" thickBot="1" x14ac:dyDescent="0.3">
      <c r="A930" s="582" t="s">
        <v>1098</v>
      </c>
      <c r="B930" s="306" t="s">
        <v>596</v>
      </c>
      <c r="C930" s="66" t="s">
        <v>595</v>
      </c>
      <c r="D930" s="67" t="s">
        <v>269</v>
      </c>
      <c r="E930" s="108">
        <v>1</v>
      </c>
      <c r="F930" s="30">
        <f>SUM(G931:G935)/E930</f>
        <v>19.29</v>
      </c>
      <c r="G930" s="45">
        <f t="shared" ref="G930:G935" si="120">F930*E930</f>
        <v>19.29</v>
      </c>
      <c r="H930" s="64" t="s">
        <v>59</v>
      </c>
      <c r="I930" s="482">
        <f>H931+H933</f>
        <v>19.29</v>
      </c>
      <c r="J930" s="12"/>
      <c r="K930" s="12"/>
    </row>
    <row r="931" spans="1:11" x14ac:dyDescent="0.25">
      <c r="A931" s="583"/>
      <c r="B931" s="204">
        <v>122</v>
      </c>
      <c r="C931" s="205" t="s">
        <v>323</v>
      </c>
      <c r="D931" s="206" t="s">
        <v>268</v>
      </c>
      <c r="E931" s="241">
        <f>0.0488*E930</f>
        <v>4.8800000000000003E-2</v>
      </c>
      <c r="F931" s="208">
        <v>30.09</v>
      </c>
      <c r="G931" s="210">
        <f t="shared" si="120"/>
        <v>1.47</v>
      </c>
      <c r="H931" s="277">
        <f>G932+G933</f>
        <v>12.68</v>
      </c>
      <c r="J931" s="12"/>
      <c r="K931" s="12"/>
    </row>
    <row r="932" spans="1:11" x14ac:dyDescent="0.25">
      <c r="A932" s="583"/>
      <c r="B932" s="32">
        <v>2696</v>
      </c>
      <c r="C932" s="13" t="s">
        <v>260</v>
      </c>
      <c r="D932" s="14" t="s">
        <v>257</v>
      </c>
      <c r="E932" s="22">
        <f>0.5*E930</f>
        <v>0.5</v>
      </c>
      <c r="F932" s="18">
        <v>14.85</v>
      </c>
      <c r="G932" s="33">
        <f t="shared" si="120"/>
        <v>7.43</v>
      </c>
      <c r="H932" s="64" t="s">
        <v>60</v>
      </c>
      <c r="J932" s="12"/>
      <c r="K932" s="12"/>
    </row>
    <row r="933" spans="1:11" x14ac:dyDescent="0.25">
      <c r="A933" s="583"/>
      <c r="B933" s="32">
        <v>6111</v>
      </c>
      <c r="C933" s="13" t="s">
        <v>274</v>
      </c>
      <c r="D933" s="14" t="s">
        <v>257</v>
      </c>
      <c r="E933" s="22">
        <f>0.5*E930</f>
        <v>0.5</v>
      </c>
      <c r="F933" s="18">
        <v>10.49</v>
      </c>
      <c r="G933" s="33">
        <f t="shared" si="120"/>
        <v>5.25</v>
      </c>
      <c r="H933" s="277">
        <f>G931+G934+G935</f>
        <v>6.61</v>
      </c>
      <c r="J933" s="12"/>
      <c r="K933" s="12"/>
    </row>
    <row r="934" spans="1:11" ht="21" customHeight="1" x14ac:dyDescent="0.25">
      <c r="A934" s="583"/>
      <c r="B934" s="242">
        <v>20043</v>
      </c>
      <c r="C934" s="243" t="s">
        <v>594</v>
      </c>
      <c r="D934" s="244" t="s">
        <v>572</v>
      </c>
      <c r="E934" s="323">
        <f>1*E930</f>
        <v>1</v>
      </c>
      <c r="F934" s="324">
        <v>3.32</v>
      </c>
      <c r="G934" s="210">
        <f t="shared" si="120"/>
        <v>3.32</v>
      </c>
      <c r="H934" s="690"/>
      <c r="J934" s="12"/>
      <c r="K934" s="12"/>
    </row>
    <row r="935" spans="1:11" ht="12" thickBot="1" x14ac:dyDescent="0.3">
      <c r="A935" s="584"/>
      <c r="B935" s="278">
        <v>20083</v>
      </c>
      <c r="C935" s="279" t="s">
        <v>324</v>
      </c>
      <c r="D935" s="280" t="s">
        <v>269</v>
      </c>
      <c r="E935" s="322">
        <f>0.0511*E930</f>
        <v>5.11E-2</v>
      </c>
      <c r="F935" s="282">
        <v>35.64</v>
      </c>
      <c r="G935" s="283">
        <f t="shared" si="120"/>
        <v>1.82</v>
      </c>
      <c r="H935" s="684"/>
      <c r="J935" s="12"/>
      <c r="K935" s="12"/>
    </row>
    <row r="936" spans="1:11" ht="12" thickBot="1" x14ac:dyDescent="0.3">
      <c r="A936" s="582" t="s">
        <v>1099</v>
      </c>
      <c r="B936" s="306" t="s">
        <v>599</v>
      </c>
      <c r="C936" s="66" t="s">
        <v>597</v>
      </c>
      <c r="D936" s="67" t="s">
        <v>269</v>
      </c>
      <c r="E936" s="108">
        <v>1</v>
      </c>
      <c r="F936" s="30">
        <f>SUM(G937:G941)/E936</f>
        <v>20.02</v>
      </c>
      <c r="G936" s="45">
        <f t="shared" ref="G936:G941" si="121">F936*E936</f>
        <v>20.02</v>
      </c>
      <c r="H936" s="64" t="s">
        <v>59</v>
      </c>
      <c r="I936" s="482">
        <f>H937+H939</f>
        <v>20.02</v>
      </c>
      <c r="J936" s="12"/>
      <c r="K936" s="12"/>
    </row>
    <row r="937" spans="1:11" x14ac:dyDescent="0.25">
      <c r="A937" s="583"/>
      <c r="B937" s="204">
        <v>122</v>
      </c>
      <c r="C937" s="205" t="s">
        <v>323</v>
      </c>
      <c r="D937" s="206" t="s">
        <v>268</v>
      </c>
      <c r="E937" s="241">
        <f>0.0488*E936</f>
        <v>4.8800000000000003E-2</v>
      </c>
      <c r="F937" s="208">
        <v>30.09</v>
      </c>
      <c r="G937" s="210">
        <f t="shared" si="121"/>
        <v>1.47</v>
      </c>
      <c r="H937" s="277">
        <f>G938+G939</f>
        <v>12.68</v>
      </c>
      <c r="J937" s="12"/>
      <c r="K937" s="12"/>
    </row>
    <row r="938" spans="1:11" x14ac:dyDescent="0.25">
      <c r="A938" s="583"/>
      <c r="B938" s="32">
        <v>2696</v>
      </c>
      <c r="C938" s="13" t="s">
        <v>260</v>
      </c>
      <c r="D938" s="14" t="s">
        <v>257</v>
      </c>
      <c r="E938" s="22">
        <f>0.5*E936</f>
        <v>0.5</v>
      </c>
      <c r="F938" s="18">
        <v>14.85</v>
      </c>
      <c r="G938" s="33">
        <f t="shared" si="121"/>
        <v>7.43</v>
      </c>
      <c r="H938" s="64" t="s">
        <v>60</v>
      </c>
      <c r="J938" s="12"/>
      <c r="K938" s="12"/>
    </row>
    <row r="939" spans="1:11" x14ac:dyDescent="0.25">
      <c r="A939" s="583"/>
      <c r="B939" s="32">
        <v>6111</v>
      </c>
      <c r="C939" s="13" t="s">
        <v>274</v>
      </c>
      <c r="D939" s="14" t="s">
        <v>257</v>
      </c>
      <c r="E939" s="22">
        <f>0.5*E936</f>
        <v>0.5</v>
      </c>
      <c r="F939" s="18">
        <v>10.49</v>
      </c>
      <c r="G939" s="33">
        <f t="shared" si="121"/>
        <v>5.25</v>
      </c>
      <c r="H939" s="277">
        <f>G937+G940+G941</f>
        <v>7.34</v>
      </c>
      <c r="J939" s="12"/>
      <c r="K939" s="12"/>
    </row>
    <row r="940" spans="1:11" ht="22.5" x14ac:dyDescent="0.25">
      <c r="A940" s="583"/>
      <c r="B940" s="242">
        <v>20044</v>
      </c>
      <c r="C940" s="243" t="s">
        <v>598</v>
      </c>
      <c r="D940" s="244" t="s">
        <v>572</v>
      </c>
      <c r="E940" s="323">
        <f>1*E936</f>
        <v>1</v>
      </c>
      <c r="F940" s="324">
        <v>4.05</v>
      </c>
      <c r="G940" s="210">
        <f t="shared" si="121"/>
        <v>4.05</v>
      </c>
      <c r="H940" s="690"/>
      <c r="J940" s="12"/>
      <c r="K940" s="12"/>
    </row>
    <row r="941" spans="1:11" ht="12" thickBot="1" x14ac:dyDescent="0.3">
      <c r="A941" s="584"/>
      <c r="B941" s="278">
        <v>20083</v>
      </c>
      <c r="C941" s="279" t="s">
        <v>324</v>
      </c>
      <c r="D941" s="280" t="s">
        <v>269</v>
      </c>
      <c r="E941" s="322">
        <f>0.0511*E936</f>
        <v>5.11E-2</v>
      </c>
      <c r="F941" s="282">
        <v>35.64</v>
      </c>
      <c r="G941" s="283">
        <f t="shared" si="121"/>
        <v>1.82</v>
      </c>
      <c r="H941" s="684"/>
      <c r="J941" s="12"/>
      <c r="K941" s="12"/>
    </row>
    <row r="942" spans="1:11" ht="12" thickBot="1" x14ac:dyDescent="0.3">
      <c r="A942" s="582" t="s">
        <v>1100</v>
      </c>
      <c r="B942" s="306" t="s">
        <v>792</v>
      </c>
      <c r="C942" s="66" t="s">
        <v>600</v>
      </c>
      <c r="D942" s="67" t="s">
        <v>269</v>
      </c>
      <c r="E942" s="108">
        <v>1</v>
      </c>
      <c r="F942" s="30">
        <f>SUM(G943:G947)/E942</f>
        <v>19.02</v>
      </c>
      <c r="G942" s="45">
        <f t="shared" ref="G942:G953" si="122">F942*E942</f>
        <v>19.02</v>
      </c>
      <c r="H942" s="64" t="s">
        <v>59</v>
      </c>
      <c r="I942" s="482">
        <f>H943+H945</f>
        <v>19.02</v>
      </c>
      <c r="J942" s="12"/>
      <c r="K942" s="12"/>
    </row>
    <row r="943" spans="1:11" x14ac:dyDescent="0.25">
      <c r="A943" s="583"/>
      <c r="B943" s="204">
        <v>122</v>
      </c>
      <c r="C943" s="205" t="s">
        <v>323</v>
      </c>
      <c r="D943" s="206" t="s">
        <v>268</v>
      </c>
      <c r="E943" s="241">
        <f>0.0488*E942</f>
        <v>4.8800000000000003E-2</v>
      </c>
      <c r="F943" s="208">
        <v>30.09</v>
      </c>
      <c r="G943" s="210">
        <f t="shared" si="122"/>
        <v>1.47</v>
      </c>
      <c r="H943" s="277">
        <f>G944+G945</f>
        <v>12.68</v>
      </c>
      <c r="J943" s="12"/>
      <c r="K943" s="12"/>
    </row>
    <row r="944" spans="1:11" x14ac:dyDescent="0.25">
      <c r="A944" s="583"/>
      <c r="B944" s="429">
        <v>2696</v>
      </c>
      <c r="C944" s="430" t="s">
        <v>260</v>
      </c>
      <c r="D944" s="431" t="s">
        <v>257</v>
      </c>
      <c r="E944" s="432">
        <f>0.5*E942</f>
        <v>0.5</v>
      </c>
      <c r="F944" s="464">
        <v>14.85</v>
      </c>
      <c r="G944" s="434">
        <f t="shared" si="122"/>
        <v>7.43</v>
      </c>
      <c r="H944" s="64" t="s">
        <v>60</v>
      </c>
      <c r="J944" s="12"/>
      <c r="K944" s="12"/>
    </row>
    <row r="945" spans="1:11" x14ac:dyDescent="0.25">
      <c r="A945" s="583"/>
      <c r="B945" s="429">
        <v>6111</v>
      </c>
      <c r="C945" s="430" t="s">
        <v>274</v>
      </c>
      <c r="D945" s="431" t="s">
        <v>257</v>
      </c>
      <c r="E945" s="432">
        <f>0.5*E942</f>
        <v>0.5</v>
      </c>
      <c r="F945" s="464">
        <v>10.49</v>
      </c>
      <c r="G945" s="434">
        <f t="shared" si="122"/>
        <v>5.25</v>
      </c>
      <c r="H945" s="277">
        <f>G943+G946+G947</f>
        <v>6.34</v>
      </c>
      <c r="J945" s="12"/>
      <c r="K945" s="12"/>
    </row>
    <row r="946" spans="1:11" ht="22.5" x14ac:dyDescent="0.25">
      <c r="A946" s="583"/>
      <c r="B946" s="242">
        <v>20042</v>
      </c>
      <c r="C946" s="243" t="s">
        <v>601</v>
      </c>
      <c r="D946" s="244" t="s">
        <v>572</v>
      </c>
      <c r="E946" s="323">
        <f>1*E942</f>
        <v>1</v>
      </c>
      <c r="F946" s="324">
        <v>3.05</v>
      </c>
      <c r="G946" s="210">
        <f t="shared" si="122"/>
        <v>3.05</v>
      </c>
      <c r="H946" s="690"/>
      <c r="J946" s="12"/>
      <c r="K946" s="12"/>
    </row>
    <row r="947" spans="1:11" ht="12" thickBot="1" x14ac:dyDescent="0.3">
      <c r="A947" s="584"/>
      <c r="B947" s="278">
        <v>20083</v>
      </c>
      <c r="C947" s="279" t="s">
        <v>324</v>
      </c>
      <c r="D947" s="280" t="s">
        <v>269</v>
      </c>
      <c r="E947" s="322">
        <f>0.0511*E942</f>
        <v>5.11E-2</v>
      </c>
      <c r="F947" s="282">
        <v>35.64</v>
      </c>
      <c r="G947" s="283">
        <f t="shared" si="122"/>
        <v>1.82</v>
      </c>
      <c r="H947" s="684"/>
      <c r="J947" s="12"/>
      <c r="K947" s="12"/>
    </row>
    <row r="948" spans="1:11" ht="23.25" customHeight="1" thickBot="1" x14ac:dyDescent="0.3">
      <c r="A948" s="582" t="s">
        <v>1101</v>
      </c>
      <c r="B948" s="306">
        <v>83706</v>
      </c>
      <c r="C948" s="66" t="s">
        <v>1278</v>
      </c>
      <c r="D948" s="67" t="s">
        <v>269</v>
      </c>
      <c r="E948" s="108">
        <v>1</v>
      </c>
      <c r="F948" s="30">
        <f>SUM(G949:G953)/E948</f>
        <v>46.37</v>
      </c>
      <c r="G948" s="45">
        <f t="shared" si="122"/>
        <v>46.37</v>
      </c>
      <c r="H948" s="64" t="s">
        <v>59</v>
      </c>
      <c r="I948" s="482">
        <v>46.37</v>
      </c>
      <c r="J948" s="12"/>
      <c r="K948" s="12"/>
    </row>
    <row r="949" spans="1:11" ht="24.75" customHeight="1" x14ac:dyDescent="0.25">
      <c r="A949" s="583"/>
      <c r="B949" s="204">
        <v>305</v>
      </c>
      <c r="C949" s="205" t="s">
        <v>603</v>
      </c>
      <c r="D949" s="206" t="s">
        <v>268</v>
      </c>
      <c r="E949" s="241">
        <v>1</v>
      </c>
      <c r="F949" s="208">
        <v>5.2</v>
      </c>
      <c r="G949" s="210">
        <f t="shared" si="122"/>
        <v>5.2</v>
      </c>
      <c r="H949" s="277">
        <f>I948-H951</f>
        <v>18</v>
      </c>
      <c r="J949" s="12"/>
      <c r="K949" s="12"/>
    </row>
    <row r="950" spans="1:11" ht="22.5" x14ac:dyDescent="0.25">
      <c r="A950" s="583"/>
      <c r="B950" s="429">
        <v>88267</v>
      </c>
      <c r="C950" s="430" t="s">
        <v>755</v>
      </c>
      <c r="D950" s="739" t="s">
        <v>281</v>
      </c>
      <c r="E950" s="379">
        <f>0.5605*E948</f>
        <v>0.5605</v>
      </c>
      <c r="F950" s="464">
        <v>17.940000000000001</v>
      </c>
      <c r="G950" s="741">
        <f t="shared" si="122"/>
        <v>10.06</v>
      </c>
      <c r="H950" s="64" t="s">
        <v>60</v>
      </c>
      <c r="J950" s="12"/>
      <c r="K950" s="12"/>
    </row>
    <row r="951" spans="1:11" ht="22.5" x14ac:dyDescent="0.25">
      <c r="A951" s="583"/>
      <c r="B951" s="429">
        <v>88248</v>
      </c>
      <c r="C951" s="430" t="s">
        <v>756</v>
      </c>
      <c r="D951" s="431" t="s">
        <v>257</v>
      </c>
      <c r="E951" s="432">
        <f>0.5605*E948</f>
        <v>0.5605</v>
      </c>
      <c r="F951" s="433">
        <v>14.16</v>
      </c>
      <c r="G951" s="434">
        <f>F951*E951</f>
        <v>7.94</v>
      </c>
      <c r="H951" s="277">
        <f>G949+G952+G953</f>
        <v>28.37</v>
      </c>
      <c r="J951" s="12"/>
      <c r="K951" s="12"/>
    </row>
    <row r="952" spans="1:11" ht="15" customHeight="1" x14ac:dyDescent="0.25">
      <c r="A952" s="583"/>
      <c r="B952" s="242">
        <v>9818</v>
      </c>
      <c r="C952" s="243" t="s">
        <v>793</v>
      </c>
      <c r="D952" s="244" t="s">
        <v>572</v>
      </c>
      <c r="E952" s="323">
        <f>1.01*E948</f>
        <v>1.01</v>
      </c>
      <c r="F952" s="324">
        <v>21.41</v>
      </c>
      <c r="G952" s="210">
        <f t="shared" si="122"/>
        <v>21.62</v>
      </c>
      <c r="H952" s="690"/>
      <c r="J952" s="12"/>
      <c r="K952" s="12"/>
    </row>
    <row r="953" spans="1:11" ht="23.25" thickBot="1" x14ac:dyDescent="0.3">
      <c r="A953" s="584"/>
      <c r="B953" s="278">
        <v>20079</v>
      </c>
      <c r="C953" s="279" t="s">
        <v>794</v>
      </c>
      <c r="D953" s="280" t="s">
        <v>269</v>
      </c>
      <c r="E953" s="322">
        <f>0.0066*E948</f>
        <v>6.6E-3</v>
      </c>
      <c r="F953" s="282">
        <v>234.66</v>
      </c>
      <c r="G953" s="283">
        <f t="shared" si="122"/>
        <v>1.55</v>
      </c>
      <c r="H953" s="684"/>
      <c r="J953" s="12"/>
      <c r="K953" s="12"/>
    </row>
    <row r="954" spans="1:11" ht="25.5" customHeight="1" thickBot="1" x14ac:dyDescent="0.3">
      <c r="A954" s="582" t="s">
        <v>1102</v>
      </c>
      <c r="B954" s="306">
        <v>85123</v>
      </c>
      <c r="C954" s="66" t="s">
        <v>1279</v>
      </c>
      <c r="D954" s="67" t="s">
        <v>269</v>
      </c>
      <c r="E954" s="108">
        <v>1</v>
      </c>
      <c r="F954" s="30">
        <f>SUM(G955:G959)/E954</f>
        <v>25.96</v>
      </c>
      <c r="G954" s="45">
        <f t="shared" ref="G954:G959" si="123">F954*E954</f>
        <v>25.96</v>
      </c>
      <c r="H954" s="64" t="s">
        <v>59</v>
      </c>
      <c r="I954" s="482">
        <v>25.96</v>
      </c>
      <c r="J954" s="12"/>
      <c r="K954" s="12"/>
    </row>
    <row r="955" spans="1:11" ht="22.5" x14ac:dyDescent="0.25">
      <c r="A955" s="583"/>
      <c r="B955" s="204">
        <v>301</v>
      </c>
      <c r="C955" s="205" t="s">
        <v>1280</v>
      </c>
      <c r="D955" s="206" t="s">
        <v>268</v>
      </c>
      <c r="E955" s="241">
        <v>1</v>
      </c>
      <c r="F955" s="208">
        <v>1.3</v>
      </c>
      <c r="G955" s="210">
        <f t="shared" si="123"/>
        <v>1.3</v>
      </c>
      <c r="H955" s="277">
        <f>I954-H957</f>
        <v>16.7</v>
      </c>
      <c r="J955" s="12"/>
      <c r="K955" s="12"/>
    </row>
    <row r="956" spans="1:11" ht="22.5" x14ac:dyDescent="0.25">
      <c r="A956" s="583"/>
      <c r="B956" s="429">
        <v>88267</v>
      </c>
      <c r="C956" s="430" t="s">
        <v>755</v>
      </c>
      <c r="D956" s="739" t="s">
        <v>281</v>
      </c>
      <c r="E956" s="379">
        <f>0.5205*E954</f>
        <v>0.52049999999999996</v>
      </c>
      <c r="F956" s="464">
        <v>17.940000000000001</v>
      </c>
      <c r="G956" s="741">
        <f t="shared" si="123"/>
        <v>9.34</v>
      </c>
      <c r="H956" s="64" t="s">
        <v>60</v>
      </c>
      <c r="J956" s="12"/>
      <c r="K956" s="12"/>
    </row>
    <row r="957" spans="1:11" ht="22.5" x14ac:dyDescent="0.25">
      <c r="A957" s="583"/>
      <c r="B957" s="429">
        <v>88248</v>
      </c>
      <c r="C957" s="430" t="s">
        <v>756</v>
      </c>
      <c r="D957" s="431" t="s">
        <v>257</v>
      </c>
      <c r="E957" s="432">
        <f>0.52*E954</f>
        <v>0.52</v>
      </c>
      <c r="F957" s="433">
        <v>14.16</v>
      </c>
      <c r="G957" s="434">
        <f>F957*E957</f>
        <v>7.36</v>
      </c>
      <c r="H957" s="277">
        <f>G955+G958+G959</f>
        <v>9.26</v>
      </c>
      <c r="J957" s="12"/>
      <c r="K957" s="12"/>
    </row>
    <row r="958" spans="1:11" ht="22.5" x14ac:dyDescent="0.25">
      <c r="A958" s="583"/>
      <c r="B958" s="242">
        <v>9836</v>
      </c>
      <c r="C958" s="243" t="s">
        <v>607</v>
      </c>
      <c r="D958" s="244" t="s">
        <v>572</v>
      </c>
      <c r="E958" s="323">
        <f>1.01*E954</f>
        <v>1.01</v>
      </c>
      <c r="F958" s="324">
        <v>6.83</v>
      </c>
      <c r="G958" s="210">
        <f t="shared" si="123"/>
        <v>6.9</v>
      </c>
      <c r="H958" s="690"/>
      <c r="J958" s="12"/>
      <c r="K958" s="12"/>
    </row>
    <row r="959" spans="1:11" ht="23.25" thickBot="1" x14ac:dyDescent="0.3">
      <c r="A959" s="584"/>
      <c r="B959" s="278">
        <v>20079</v>
      </c>
      <c r="C959" s="279" t="s">
        <v>604</v>
      </c>
      <c r="D959" s="280" t="s">
        <v>269</v>
      </c>
      <c r="E959" s="322">
        <f>0.0045*E954</f>
        <v>4.4999999999999997E-3</v>
      </c>
      <c r="F959" s="282">
        <v>234.66</v>
      </c>
      <c r="G959" s="283">
        <f t="shared" si="123"/>
        <v>1.06</v>
      </c>
      <c r="H959" s="684"/>
      <c r="J959" s="12"/>
      <c r="K959" s="12"/>
    </row>
    <row r="960" spans="1:11" ht="23.25" thickBot="1" x14ac:dyDescent="0.3">
      <c r="A960" s="582" t="s">
        <v>1103</v>
      </c>
      <c r="B960" s="306" t="s">
        <v>608</v>
      </c>
      <c r="C960" s="66" t="s">
        <v>609</v>
      </c>
      <c r="D960" s="67" t="s">
        <v>269</v>
      </c>
      <c r="E960" s="108">
        <v>1</v>
      </c>
      <c r="F960" s="30">
        <f>SUM(G961:G965)/E960</f>
        <v>22.08</v>
      </c>
      <c r="G960" s="45">
        <f t="shared" ref="G960:G965" si="124">F960*E960</f>
        <v>22.08</v>
      </c>
      <c r="H960" s="64" t="s">
        <v>59</v>
      </c>
      <c r="I960" s="482">
        <f>H963+H961</f>
        <v>22.08</v>
      </c>
      <c r="J960" s="12"/>
      <c r="K960" s="12"/>
    </row>
    <row r="961" spans="1:11" x14ac:dyDescent="0.25">
      <c r="A961" s="583"/>
      <c r="B961" s="204">
        <v>122</v>
      </c>
      <c r="C961" s="205" t="s">
        <v>323</v>
      </c>
      <c r="D961" s="206" t="s">
        <v>268</v>
      </c>
      <c r="E961" s="241">
        <f>0.005*E960</f>
        <v>5.0000000000000001E-3</v>
      </c>
      <c r="F961" s="208">
        <v>30.09</v>
      </c>
      <c r="G961" s="210">
        <f t="shared" si="124"/>
        <v>0.15</v>
      </c>
      <c r="H961" s="277">
        <v>17.79</v>
      </c>
      <c r="J961" s="12"/>
      <c r="K961" s="12"/>
    </row>
    <row r="962" spans="1:11" ht="22.5" x14ac:dyDescent="0.25">
      <c r="A962" s="583"/>
      <c r="B962" s="429">
        <v>88267</v>
      </c>
      <c r="C962" s="430" t="s">
        <v>755</v>
      </c>
      <c r="D962" s="739" t="s">
        <v>281</v>
      </c>
      <c r="E962" s="379">
        <f>0.5541*E960</f>
        <v>0.55410000000000004</v>
      </c>
      <c r="F962" s="464">
        <v>17.940000000000001</v>
      </c>
      <c r="G962" s="741">
        <f t="shared" si="124"/>
        <v>9.94</v>
      </c>
      <c r="H962" s="64" t="s">
        <v>60</v>
      </c>
      <c r="J962" s="12"/>
      <c r="K962" s="12"/>
    </row>
    <row r="963" spans="1:11" ht="22.5" x14ac:dyDescent="0.25">
      <c r="A963" s="583"/>
      <c r="B963" s="429">
        <v>88248</v>
      </c>
      <c r="C963" s="430" t="s">
        <v>756</v>
      </c>
      <c r="D963" s="431" t="s">
        <v>257</v>
      </c>
      <c r="E963" s="432">
        <f>0.5541*E960</f>
        <v>0.55410000000000004</v>
      </c>
      <c r="F963" s="433">
        <v>14.16</v>
      </c>
      <c r="G963" s="434">
        <f>F963*E963</f>
        <v>7.85</v>
      </c>
      <c r="H963" s="277">
        <f>G961+G964+G965</f>
        <v>4.29</v>
      </c>
      <c r="J963" s="12"/>
      <c r="K963" s="12"/>
    </row>
    <row r="964" spans="1:11" ht="22.5" x14ac:dyDescent="0.25">
      <c r="A964" s="583"/>
      <c r="B964" s="242">
        <v>9835</v>
      </c>
      <c r="C964" s="243" t="s">
        <v>1281</v>
      </c>
      <c r="D964" s="244" t="s">
        <v>572</v>
      </c>
      <c r="E964" s="323">
        <v>1.01</v>
      </c>
      <c r="F964" s="324">
        <v>2.36</v>
      </c>
      <c r="G964" s="210">
        <f t="shared" si="124"/>
        <v>2.38</v>
      </c>
      <c r="H964" s="690"/>
      <c r="J964" s="12"/>
      <c r="K964" s="12"/>
    </row>
    <row r="965" spans="1:11" ht="23.25" thickBot="1" x14ac:dyDescent="0.3">
      <c r="A965" s="584"/>
      <c r="B965" s="278">
        <v>20079</v>
      </c>
      <c r="C965" s="279" t="s">
        <v>1282</v>
      </c>
      <c r="D965" s="280" t="s">
        <v>269</v>
      </c>
      <c r="E965" s="322">
        <f>0.0075*E960</f>
        <v>7.4999999999999997E-3</v>
      </c>
      <c r="F965" s="282">
        <v>234.66</v>
      </c>
      <c r="G965" s="283">
        <f t="shared" si="124"/>
        <v>1.76</v>
      </c>
      <c r="H965" s="684"/>
      <c r="J965" s="12"/>
      <c r="K965" s="12"/>
    </row>
    <row r="966" spans="1:11" ht="23.25" thickBot="1" x14ac:dyDescent="0.3">
      <c r="A966" s="582" t="s">
        <v>1104</v>
      </c>
      <c r="B966" s="306" t="s">
        <v>610</v>
      </c>
      <c r="C966" s="66" t="s">
        <v>611</v>
      </c>
      <c r="D966" s="67" t="s">
        <v>269</v>
      </c>
      <c r="E966" s="108">
        <v>1</v>
      </c>
      <c r="F966" s="30">
        <f>SUM(G967:G971)/E966</f>
        <v>28.81</v>
      </c>
      <c r="G966" s="45">
        <f t="shared" ref="G966:G971" si="125">F966*E966</f>
        <v>28.81</v>
      </c>
      <c r="H966" s="64" t="s">
        <v>59</v>
      </c>
      <c r="I966" s="482">
        <f>H969+H967</f>
        <v>28.81</v>
      </c>
      <c r="J966" s="12"/>
      <c r="K966" s="12"/>
    </row>
    <row r="967" spans="1:11" x14ac:dyDescent="0.25">
      <c r="A967" s="583"/>
      <c r="B967" s="204">
        <v>122</v>
      </c>
      <c r="C967" s="205" t="s">
        <v>323</v>
      </c>
      <c r="D967" s="206" t="s">
        <v>268</v>
      </c>
      <c r="E967" s="241">
        <f>0.0025*E966</f>
        <v>2.5000000000000001E-3</v>
      </c>
      <c r="F967" s="208">
        <v>30.09</v>
      </c>
      <c r="G967" s="210">
        <f t="shared" si="125"/>
        <v>0.08</v>
      </c>
      <c r="H967" s="277">
        <v>23.35</v>
      </c>
      <c r="J967" s="12"/>
      <c r="K967" s="12"/>
    </row>
    <row r="968" spans="1:11" ht="22.5" x14ac:dyDescent="0.25">
      <c r="A968" s="583"/>
      <c r="B968" s="429">
        <v>88267</v>
      </c>
      <c r="C968" s="430" t="s">
        <v>755</v>
      </c>
      <c r="D968" s="739" t="s">
        <v>281</v>
      </c>
      <c r="E968" s="379">
        <f>0.728*E966</f>
        <v>0.72799999999999998</v>
      </c>
      <c r="F968" s="464">
        <v>17.940000000000001</v>
      </c>
      <c r="G968" s="741">
        <f t="shared" si="125"/>
        <v>13.06</v>
      </c>
      <c r="H968" s="64" t="s">
        <v>60</v>
      </c>
      <c r="J968" s="12"/>
      <c r="K968" s="12"/>
    </row>
    <row r="969" spans="1:11" ht="22.5" x14ac:dyDescent="0.25">
      <c r="A969" s="583"/>
      <c r="B969" s="429">
        <v>88248</v>
      </c>
      <c r="C969" s="430" t="s">
        <v>756</v>
      </c>
      <c r="D969" s="431" t="s">
        <v>257</v>
      </c>
      <c r="E969" s="432">
        <f>0.727*E966</f>
        <v>0.72699999999999998</v>
      </c>
      <c r="F969" s="433">
        <v>14.16</v>
      </c>
      <c r="G969" s="434">
        <f>F969*E969</f>
        <v>10.29</v>
      </c>
      <c r="H969" s="277">
        <f>G967+G970+G971</f>
        <v>5.46</v>
      </c>
      <c r="J969" s="12"/>
      <c r="K969" s="12"/>
    </row>
    <row r="970" spans="1:11" ht="22.5" x14ac:dyDescent="0.25">
      <c r="A970" s="583"/>
      <c r="B970" s="242">
        <v>9838</v>
      </c>
      <c r="C970" s="243" t="s">
        <v>1283</v>
      </c>
      <c r="D970" s="244" t="s">
        <v>572</v>
      </c>
      <c r="E970" s="323">
        <v>1.01</v>
      </c>
      <c r="F970" s="324">
        <v>4.47</v>
      </c>
      <c r="G970" s="210">
        <f t="shared" si="125"/>
        <v>4.51</v>
      </c>
      <c r="H970" s="690"/>
      <c r="J970" s="12"/>
      <c r="K970" s="12"/>
    </row>
    <row r="971" spans="1:11" ht="23.25" thickBot="1" x14ac:dyDescent="0.3">
      <c r="A971" s="584"/>
      <c r="B971" s="278">
        <v>20079</v>
      </c>
      <c r="C971" s="279" t="s">
        <v>1282</v>
      </c>
      <c r="D971" s="280" t="s">
        <v>269</v>
      </c>
      <c r="E971" s="322">
        <f>0.0037*E966</f>
        <v>3.7000000000000002E-3</v>
      </c>
      <c r="F971" s="282">
        <v>234.66</v>
      </c>
      <c r="G971" s="283">
        <f t="shared" si="125"/>
        <v>0.87</v>
      </c>
      <c r="H971" s="684"/>
      <c r="J971" s="12"/>
      <c r="K971" s="12"/>
    </row>
    <row r="972" spans="1:11" ht="23.25" thickBot="1" x14ac:dyDescent="0.3">
      <c r="A972" s="582" t="s">
        <v>1105</v>
      </c>
      <c r="B972" s="306" t="s">
        <v>612</v>
      </c>
      <c r="C972" s="66" t="s">
        <v>613</v>
      </c>
      <c r="D972" s="67" t="s">
        <v>269</v>
      </c>
      <c r="E972" s="108">
        <v>1</v>
      </c>
      <c r="F972" s="30">
        <f>SUM(G973:G977)/E972</f>
        <v>39.93</v>
      </c>
      <c r="G972" s="45">
        <f t="shared" ref="G972:G977" si="126">F972*E972</f>
        <v>39.93</v>
      </c>
      <c r="H972" s="64" t="s">
        <v>59</v>
      </c>
      <c r="I972" s="482">
        <f>H975+H973</f>
        <v>39.93</v>
      </c>
      <c r="J972" s="12"/>
      <c r="K972" s="12"/>
    </row>
    <row r="973" spans="1:11" x14ac:dyDescent="0.25">
      <c r="A973" s="583"/>
      <c r="B973" s="204">
        <v>122</v>
      </c>
      <c r="C973" s="205" t="s">
        <v>323</v>
      </c>
      <c r="D973" s="206" t="s">
        <v>268</v>
      </c>
      <c r="E973" s="241">
        <f>0.0057*E972</f>
        <v>5.7000000000000002E-3</v>
      </c>
      <c r="F973" s="208">
        <v>30.09</v>
      </c>
      <c r="G973" s="210">
        <f t="shared" si="126"/>
        <v>0.17</v>
      </c>
      <c r="H973" s="277">
        <v>32.020000000000003</v>
      </c>
      <c r="J973" s="12"/>
      <c r="K973" s="12"/>
    </row>
    <row r="974" spans="1:11" ht="22.5" x14ac:dyDescent="0.25">
      <c r="A974" s="583"/>
      <c r="B974" s="429">
        <v>88267</v>
      </c>
      <c r="C974" s="430" t="s">
        <v>755</v>
      </c>
      <c r="D974" s="739" t="s">
        <v>281</v>
      </c>
      <c r="E974" s="379">
        <f>0.998*E972</f>
        <v>0.998</v>
      </c>
      <c r="F974" s="464">
        <v>17.940000000000001</v>
      </c>
      <c r="G974" s="741">
        <f t="shared" si="126"/>
        <v>17.899999999999999</v>
      </c>
      <c r="H974" s="64" t="s">
        <v>60</v>
      </c>
      <c r="J974" s="12"/>
      <c r="K974" s="12"/>
    </row>
    <row r="975" spans="1:11" ht="22.5" x14ac:dyDescent="0.25">
      <c r="A975" s="583"/>
      <c r="B975" s="429">
        <v>88248</v>
      </c>
      <c r="C975" s="430" t="s">
        <v>756</v>
      </c>
      <c r="D975" s="431" t="s">
        <v>257</v>
      </c>
      <c r="E975" s="432">
        <f>0.997*E972</f>
        <v>0.997</v>
      </c>
      <c r="F975" s="433">
        <v>14.16</v>
      </c>
      <c r="G975" s="434">
        <f>F975*E975</f>
        <v>14.12</v>
      </c>
      <c r="H975" s="277">
        <f>G973+G976+G977</f>
        <v>7.91</v>
      </c>
      <c r="J975" s="12"/>
      <c r="K975" s="12"/>
    </row>
    <row r="976" spans="1:11" ht="22.5" x14ac:dyDescent="0.25">
      <c r="A976" s="583"/>
      <c r="B976" s="242">
        <v>9837</v>
      </c>
      <c r="C976" s="243" t="s">
        <v>614</v>
      </c>
      <c r="D976" s="244" t="s">
        <v>572</v>
      </c>
      <c r="E976" s="323">
        <v>1.01</v>
      </c>
      <c r="F976" s="324">
        <v>5.64</v>
      </c>
      <c r="G976" s="210">
        <f t="shared" si="126"/>
        <v>5.7</v>
      </c>
      <c r="H976" s="690"/>
      <c r="J976" s="12"/>
      <c r="K976" s="12"/>
    </row>
    <row r="977" spans="1:11" ht="23.25" thickBot="1" x14ac:dyDescent="0.3">
      <c r="A977" s="584"/>
      <c r="B977" s="278">
        <v>20079</v>
      </c>
      <c r="C977" s="279" t="s">
        <v>604</v>
      </c>
      <c r="D977" s="280" t="s">
        <v>269</v>
      </c>
      <c r="E977" s="322">
        <f>0.0087*E972</f>
        <v>8.6999999999999994E-3</v>
      </c>
      <c r="F977" s="282">
        <v>234.66</v>
      </c>
      <c r="G977" s="283">
        <f t="shared" si="126"/>
        <v>2.04</v>
      </c>
      <c r="H977" s="684"/>
      <c r="J977" s="12"/>
      <c r="K977" s="12"/>
    </row>
    <row r="978" spans="1:11" ht="23.25" customHeight="1" thickBot="1" x14ac:dyDescent="0.3">
      <c r="A978" s="582" t="s">
        <v>1106</v>
      </c>
      <c r="B978" s="306">
        <v>72465</v>
      </c>
      <c r="C978" s="66" t="s">
        <v>1284</v>
      </c>
      <c r="D978" s="67" t="s">
        <v>269</v>
      </c>
      <c r="E978" s="108">
        <v>1</v>
      </c>
      <c r="F978" s="30">
        <f>SUM(G979:G984)/E978</f>
        <v>21.74</v>
      </c>
      <c r="G978" s="45">
        <f t="shared" ref="G978:G984" si="127">F978*E978</f>
        <v>21.74</v>
      </c>
      <c r="H978" s="64" t="s">
        <v>59</v>
      </c>
      <c r="I978" s="482">
        <v>21.74</v>
      </c>
      <c r="J978" s="12"/>
      <c r="K978" s="12"/>
    </row>
    <row r="979" spans="1:11" ht="22.5" x14ac:dyDescent="0.25">
      <c r="A979" s="583"/>
      <c r="B979" s="204">
        <v>296</v>
      </c>
      <c r="C979" s="205" t="s">
        <v>797</v>
      </c>
      <c r="D979" s="206" t="s">
        <v>268</v>
      </c>
      <c r="E979" s="241">
        <f>1*E978</f>
        <v>1</v>
      </c>
      <c r="F979" s="208">
        <v>0.71</v>
      </c>
      <c r="G979" s="210">
        <f t="shared" si="127"/>
        <v>0.71</v>
      </c>
      <c r="H979" s="277">
        <f>I978-H981</f>
        <v>11.32</v>
      </c>
      <c r="J979" s="12"/>
      <c r="K979" s="12"/>
    </row>
    <row r="980" spans="1:11" ht="22.5" x14ac:dyDescent="0.25">
      <c r="A980" s="583"/>
      <c r="B980" s="204">
        <v>297</v>
      </c>
      <c r="C980" s="205" t="s">
        <v>796</v>
      </c>
      <c r="D980" s="206"/>
      <c r="E980" s="241">
        <f>1*E978</f>
        <v>1</v>
      </c>
      <c r="F980" s="208">
        <v>0.91</v>
      </c>
      <c r="G980" s="210">
        <f t="shared" si="127"/>
        <v>0.91</v>
      </c>
      <c r="H980" s="64" t="s">
        <v>60</v>
      </c>
      <c r="J980" s="12"/>
      <c r="K980" s="12"/>
    </row>
    <row r="981" spans="1:11" ht="22.5" x14ac:dyDescent="0.25">
      <c r="A981" s="583"/>
      <c r="B981" s="429">
        <v>88267</v>
      </c>
      <c r="C981" s="430" t="s">
        <v>755</v>
      </c>
      <c r="D981" s="431" t="s">
        <v>257</v>
      </c>
      <c r="E981" s="432">
        <f>0.359*E978</f>
        <v>0.35899999999999999</v>
      </c>
      <c r="F981" s="464">
        <v>17.940000000000001</v>
      </c>
      <c r="G981" s="434">
        <f>F981*E981</f>
        <v>6.44</v>
      </c>
      <c r="H981" s="277">
        <f>G979+G980+G983+G984</f>
        <v>10.42</v>
      </c>
      <c r="J981" s="12"/>
      <c r="K981" s="12"/>
    </row>
    <row r="982" spans="1:11" x14ac:dyDescent="0.25">
      <c r="A982" s="583"/>
      <c r="B982" s="429">
        <v>88316</v>
      </c>
      <c r="C982" s="430" t="s">
        <v>690</v>
      </c>
      <c r="D982" s="431" t="s">
        <v>257</v>
      </c>
      <c r="E982" s="432">
        <f>0.36*E978</f>
        <v>0.36</v>
      </c>
      <c r="F982" s="464">
        <v>13.56</v>
      </c>
      <c r="G982" s="434">
        <f>F982*E982</f>
        <v>4.88</v>
      </c>
      <c r="H982" s="408"/>
      <c r="J982" s="12"/>
      <c r="K982" s="12"/>
    </row>
    <row r="983" spans="1:11" x14ac:dyDescent="0.25">
      <c r="A983" s="583"/>
      <c r="B983" s="242">
        <v>11657</v>
      </c>
      <c r="C983" s="243" t="s">
        <v>795</v>
      </c>
      <c r="D983" s="244" t="s">
        <v>572</v>
      </c>
      <c r="E983" s="323">
        <f>1*E978</f>
        <v>1</v>
      </c>
      <c r="F983" s="324">
        <v>6.77</v>
      </c>
      <c r="G983" s="210">
        <f t="shared" si="127"/>
        <v>6.77</v>
      </c>
      <c r="H983" s="690"/>
      <c r="J983" s="12"/>
      <c r="K983" s="12"/>
    </row>
    <row r="984" spans="1:11" ht="23.25" thickBot="1" x14ac:dyDescent="0.3">
      <c r="A984" s="584"/>
      <c r="B984" s="278">
        <v>20078</v>
      </c>
      <c r="C984" s="279" t="s">
        <v>798</v>
      </c>
      <c r="D984" s="280" t="s">
        <v>269</v>
      </c>
      <c r="E984" s="322">
        <f>0.08*E978</f>
        <v>0.08</v>
      </c>
      <c r="F984" s="282">
        <v>25.41</v>
      </c>
      <c r="G984" s="283">
        <f t="shared" si="127"/>
        <v>2.0299999999999998</v>
      </c>
      <c r="H984" s="684"/>
      <c r="J984" s="12"/>
      <c r="K984" s="12"/>
    </row>
    <row r="985" spans="1:11" ht="25.5" customHeight="1" thickBot="1" x14ac:dyDescent="0.3">
      <c r="A985" s="582" t="s">
        <v>1107</v>
      </c>
      <c r="B985" s="306">
        <v>72464</v>
      </c>
      <c r="C985" s="66" t="s">
        <v>1285</v>
      </c>
      <c r="D985" s="67" t="s">
        <v>269</v>
      </c>
      <c r="E985" s="108">
        <v>1</v>
      </c>
      <c r="F985" s="30">
        <f>SUM(G986:G991)/E985</f>
        <v>16.62</v>
      </c>
      <c r="G985" s="45">
        <f t="shared" ref="G985:G998" si="128">F985*E985</f>
        <v>16.62</v>
      </c>
      <c r="H985" s="64" t="s">
        <v>59</v>
      </c>
      <c r="I985" s="482">
        <v>16.62</v>
      </c>
      <c r="J985" s="12"/>
      <c r="K985" s="12"/>
    </row>
    <row r="986" spans="1:11" ht="22.5" x14ac:dyDescent="0.25">
      <c r="A986" s="583"/>
      <c r="B986" s="204">
        <v>296</v>
      </c>
      <c r="C986" s="205" t="s">
        <v>615</v>
      </c>
      <c r="D986" s="206" t="s">
        <v>268</v>
      </c>
      <c r="E986" s="241">
        <f>2*E985</f>
        <v>2</v>
      </c>
      <c r="F986" s="208">
        <v>0.71</v>
      </c>
      <c r="G986" s="210">
        <f t="shared" si="128"/>
        <v>1.42</v>
      </c>
      <c r="H986" s="277">
        <f>I985-H988</f>
        <v>10.07</v>
      </c>
      <c r="J986" s="12"/>
      <c r="K986" s="12"/>
    </row>
    <row r="987" spans="1:11" ht="22.5" x14ac:dyDescent="0.25">
      <c r="A987" s="583"/>
      <c r="B987" s="204">
        <v>297</v>
      </c>
      <c r="C987" s="205" t="s">
        <v>616</v>
      </c>
      <c r="D987" s="206"/>
      <c r="E987" s="241">
        <f>1*E985</f>
        <v>1</v>
      </c>
      <c r="F987" s="208">
        <v>0</v>
      </c>
      <c r="G987" s="210">
        <f t="shared" si="128"/>
        <v>0</v>
      </c>
      <c r="H987" s="64" t="s">
        <v>60</v>
      </c>
      <c r="J987" s="12"/>
      <c r="K987" s="12"/>
    </row>
    <row r="988" spans="1:11" ht="22.5" x14ac:dyDescent="0.25">
      <c r="A988" s="583"/>
      <c r="B988" s="429">
        <v>88267</v>
      </c>
      <c r="C988" s="430" t="s">
        <v>755</v>
      </c>
      <c r="D988" s="431" t="s">
        <v>257</v>
      </c>
      <c r="E988" s="432">
        <f>0.3195*E985</f>
        <v>0.31950000000000001</v>
      </c>
      <c r="F988" s="464">
        <v>17.940000000000001</v>
      </c>
      <c r="G988" s="434">
        <f>F988*E988</f>
        <v>5.73</v>
      </c>
      <c r="H988" s="277">
        <f>G986+G987+G990+G991</f>
        <v>6.55</v>
      </c>
      <c r="J988" s="12"/>
      <c r="K988" s="12"/>
    </row>
    <row r="989" spans="1:11" x14ac:dyDescent="0.25">
      <c r="A989" s="583"/>
      <c r="B989" s="429">
        <v>88316</v>
      </c>
      <c r="C989" s="430" t="s">
        <v>690</v>
      </c>
      <c r="D989" s="431" t="s">
        <v>257</v>
      </c>
      <c r="E989" s="432">
        <f>0.32*E985</f>
        <v>0.32</v>
      </c>
      <c r="F989" s="464">
        <v>13.56</v>
      </c>
      <c r="G989" s="434">
        <f>F989*E989</f>
        <v>4.34</v>
      </c>
      <c r="H989" s="698"/>
      <c r="J989" s="12"/>
      <c r="K989" s="12"/>
    </row>
    <row r="990" spans="1:11" ht="22.5" x14ac:dyDescent="0.25">
      <c r="A990" s="583"/>
      <c r="B990" s="242">
        <v>7097</v>
      </c>
      <c r="C990" s="243" t="s">
        <v>618</v>
      </c>
      <c r="D990" s="244" t="s">
        <v>572</v>
      </c>
      <c r="E990" s="323">
        <f>1*E985</f>
        <v>1</v>
      </c>
      <c r="F990" s="324">
        <v>3.61</v>
      </c>
      <c r="G990" s="210">
        <f t="shared" si="128"/>
        <v>3.61</v>
      </c>
      <c r="H990" s="690"/>
      <c r="J990" s="12"/>
      <c r="K990" s="12"/>
    </row>
    <row r="991" spans="1:11" ht="23.25" thickBot="1" x14ac:dyDescent="0.3">
      <c r="A991" s="584"/>
      <c r="B991" s="278">
        <v>20078</v>
      </c>
      <c r="C991" s="279" t="s">
        <v>617</v>
      </c>
      <c r="D991" s="280" t="s">
        <v>269</v>
      </c>
      <c r="E991" s="322">
        <f>0.06*E985</f>
        <v>0.06</v>
      </c>
      <c r="F991" s="282">
        <v>25.41</v>
      </c>
      <c r="G991" s="283">
        <f t="shared" si="128"/>
        <v>1.52</v>
      </c>
      <c r="H991" s="684"/>
      <c r="J991" s="12"/>
      <c r="K991" s="12"/>
    </row>
    <row r="992" spans="1:11" ht="23.25" thickBot="1" x14ac:dyDescent="0.3">
      <c r="A992" s="582" t="s">
        <v>1108</v>
      </c>
      <c r="B992" s="306" t="s">
        <v>799</v>
      </c>
      <c r="C992" s="66" t="s">
        <v>800</v>
      </c>
      <c r="D992" s="67" t="s">
        <v>269</v>
      </c>
      <c r="E992" s="108">
        <v>1</v>
      </c>
      <c r="F992" s="30">
        <f>SUM(G993:G997)/E992</f>
        <v>14.11</v>
      </c>
      <c r="G992" s="45">
        <f t="shared" si="128"/>
        <v>14.11</v>
      </c>
      <c r="H992" s="64" t="s">
        <v>59</v>
      </c>
      <c r="I992" s="482">
        <f>H993+H995</f>
        <v>14.11</v>
      </c>
    </row>
    <row r="993" spans="1:9" x14ac:dyDescent="0.25">
      <c r="A993" s="583"/>
      <c r="B993" s="204">
        <v>122</v>
      </c>
      <c r="C993" s="205" t="s">
        <v>323</v>
      </c>
      <c r="D993" s="206" t="s">
        <v>268</v>
      </c>
      <c r="E993" s="241">
        <f>0.049*E992</f>
        <v>4.9000000000000002E-2</v>
      </c>
      <c r="F993" s="208">
        <v>30.09</v>
      </c>
      <c r="G993" s="210">
        <f t="shared" si="128"/>
        <v>1.47</v>
      </c>
      <c r="H993" s="277">
        <f>G994+G995</f>
        <v>6.79</v>
      </c>
    </row>
    <row r="994" spans="1:9" x14ac:dyDescent="0.25">
      <c r="A994" s="583"/>
      <c r="B994" s="429">
        <v>2696</v>
      </c>
      <c r="C994" s="430" t="s">
        <v>260</v>
      </c>
      <c r="D994" s="431" t="s">
        <v>257</v>
      </c>
      <c r="E994" s="432">
        <f>0.268*E992</f>
        <v>0.26800000000000002</v>
      </c>
      <c r="F994" s="464">
        <v>14.85</v>
      </c>
      <c r="G994" s="434">
        <f t="shared" si="128"/>
        <v>3.98</v>
      </c>
      <c r="H994" s="64" t="s">
        <v>60</v>
      </c>
    </row>
    <row r="995" spans="1:9" x14ac:dyDescent="0.25">
      <c r="A995" s="583"/>
      <c r="B995" s="429">
        <v>6111</v>
      </c>
      <c r="C995" s="430" t="s">
        <v>274</v>
      </c>
      <c r="D995" s="431" t="s">
        <v>257</v>
      </c>
      <c r="E995" s="432">
        <f>0.268*E992</f>
        <v>0.26800000000000002</v>
      </c>
      <c r="F995" s="464">
        <v>10.49</v>
      </c>
      <c r="G995" s="434">
        <f t="shared" si="128"/>
        <v>2.81</v>
      </c>
      <c r="H995" s="277">
        <f>G993+G996+G997</f>
        <v>7.32</v>
      </c>
    </row>
    <row r="996" spans="1:9" x14ac:dyDescent="0.25">
      <c r="A996" s="583"/>
      <c r="B996" s="242" t="s">
        <v>16</v>
      </c>
      <c r="C996" s="243" t="s">
        <v>801</v>
      </c>
      <c r="D996" s="244" t="s">
        <v>269</v>
      </c>
      <c r="E996" s="323">
        <f>1*E992</f>
        <v>1</v>
      </c>
      <c r="F996" s="324">
        <v>3.93</v>
      </c>
      <c r="G996" s="210">
        <f t="shared" si="128"/>
        <v>3.93</v>
      </c>
      <c r="H996" s="690"/>
    </row>
    <row r="997" spans="1:9" ht="12" thickBot="1" x14ac:dyDescent="0.3">
      <c r="A997" s="584"/>
      <c r="B997" s="278">
        <v>20083</v>
      </c>
      <c r="C997" s="279" t="s">
        <v>324</v>
      </c>
      <c r="D997" s="280" t="s">
        <v>269</v>
      </c>
      <c r="E997" s="322">
        <f>0.054*E992</f>
        <v>5.3999999999999999E-2</v>
      </c>
      <c r="F997" s="282">
        <v>35.64</v>
      </c>
      <c r="G997" s="283">
        <f t="shared" si="128"/>
        <v>1.92</v>
      </c>
      <c r="H997" s="684"/>
    </row>
    <row r="998" spans="1:9" ht="51" customHeight="1" thickBot="1" x14ac:dyDescent="0.3">
      <c r="A998" s="582" t="s">
        <v>1109</v>
      </c>
      <c r="B998" s="306" t="s">
        <v>802</v>
      </c>
      <c r="C998" s="42" t="s">
        <v>91</v>
      </c>
      <c r="D998" s="43" t="s">
        <v>268</v>
      </c>
      <c r="E998" s="44">
        <v>1</v>
      </c>
      <c r="F998" s="30">
        <f>SUM(G999:G1012)/E998</f>
        <v>672.93</v>
      </c>
      <c r="G998" s="45">
        <f t="shared" si="128"/>
        <v>672.93</v>
      </c>
      <c r="H998" s="64" t="s">
        <v>59</v>
      </c>
      <c r="I998" s="576">
        <f>H999+H1001</f>
        <v>672.93</v>
      </c>
    </row>
    <row r="999" spans="1:9" x14ac:dyDescent="0.25">
      <c r="A999" s="583"/>
      <c r="B999" s="204">
        <v>370</v>
      </c>
      <c r="C999" s="205" t="s">
        <v>258</v>
      </c>
      <c r="D999" s="206" t="s">
        <v>272</v>
      </c>
      <c r="E999" s="321">
        <v>0.17399999999999999</v>
      </c>
      <c r="F999" s="208">
        <v>72</v>
      </c>
      <c r="G999" s="210">
        <f>F999*E999</f>
        <v>12.53</v>
      </c>
      <c r="H999" s="277">
        <f>(SUM(G1003:G1006))/4</f>
        <v>110.57</v>
      </c>
      <c r="I999" s="153"/>
    </row>
    <row r="1000" spans="1:9" x14ac:dyDescent="0.25">
      <c r="A1000" s="583"/>
      <c r="B1000" s="204">
        <v>1379</v>
      </c>
      <c r="C1000" s="205" t="s">
        <v>259</v>
      </c>
      <c r="D1000" s="206" t="s">
        <v>271</v>
      </c>
      <c r="E1000" s="321">
        <v>69.599999999999994</v>
      </c>
      <c r="F1000" s="208">
        <v>0.49</v>
      </c>
      <c r="G1000" s="210">
        <f t="shared" ref="G1000:G1002" si="129">F1000*E1000</f>
        <v>34.1</v>
      </c>
      <c r="H1000" s="64" t="s">
        <v>60</v>
      </c>
      <c r="I1000" s="153"/>
    </row>
    <row r="1001" spans="1:9" x14ac:dyDescent="0.25">
      <c r="A1001" s="583"/>
      <c r="B1001" s="204">
        <v>4718</v>
      </c>
      <c r="C1001" s="205" t="s">
        <v>292</v>
      </c>
      <c r="D1001" s="206" t="s">
        <v>272</v>
      </c>
      <c r="E1001" s="321">
        <v>4.02E-2</v>
      </c>
      <c r="F1001" s="208">
        <v>83.05</v>
      </c>
      <c r="G1001" s="210">
        <f t="shared" si="129"/>
        <v>3.34</v>
      </c>
      <c r="H1001" s="277">
        <f>F998-H999</f>
        <v>562.36</v>
      </c>
      <c r="I1001" s="153"/>
    </row>
    <row r="1002" spans="1:9" x14ac:dyDescent="0.25">
      <c r="A1002" s="583"/>
      <c r="B1002" s="204">
        <v>4721</v>
      </c>
      <c r="C1002" s="205" t="s">
        <v>284</v>
      </c>
      <c r="D1002" s="206" t="s">
        <v>272</v>
      </c>
      <c r="E1002" s="321">
        <v>0.127</v>
      </c>
      <c r="F1002" s="208">
        <v>85.99</v>
      </c>
      <c r="G1002" s="210">
        <f t="shared" si="129"/>
        <v>10.92</v>
      </c>
      <c r="H1002" s="678"/>
      <c r="I1002" s="153"/>
    </row>
    <row r="1003" spans="1:9" x14ac:dyDescent="0.25">
      <c r="A1003" s="583"/>
      <c r="B1003" s="204">
        <v>4243</v>
      </c>
      <c r="C1003" s="205" t="s">
        <v>291</v>
      </c>
      <c r="D1003" s="206" t="s">
        <v>257</v>
      </c>
      <c r="E1003" s="321">
        <v>0.36799999999999999</v>
      </c>
      <c r="F1003" s="208">
        <v>19.78</v>
      </c>
      <c r="G1003" s="210">
        <f>F1003*E1003</f>
        <v>7.28</v>
      </c>
      <c r="H1003" s="678"/>
      <c r="I1003" s="153"/>
    </row>
    <row r="1004" spans="1:9" x14ac:dyDescent="0.25">
      <c r="A1004" s="583"/>
      <c r="B1004" s="429">
        <v>6111</v>
      </c>
      <c r="C1004" s="430" t="s">
        <v>274</v>
      </c>
      <c r="D1004" s="431" t="s">
        <v>257</v>
      </c>
      <c r="E1004" s="757">
        <v>26.89</v>
      </c>
      <c r="F1004" s="433">
        <v>10.49</v>
      </c>
      <c r="G1004" s="434">
        <f t="shared" ref="G1004:G1007" si="130">F1004*E1004</f>
        <v>282.08</v>
      </c>
      <c r="H1004" s="678"/>
      <c r="I1004" s="153"/>
    </row>
    <row r="1005" spans="1:9" x14ac:dyDescent="0.25">
      <c r="A1005" s="583"/>
      <c r="B1005" s="429">
        <v>12865</v>
      </c>
      <c r="C1005" s="430" t="s">
        <v>318</v>
      </c>
      <c r="D1005" s="431" t="s">
        <v>257</v>
      </c>
      <c r="E1005" s="794">
        <v>3.84</v>
      </c>
      <c r="F1005" s="433">
        <v>13.05</v>
      </c>
      <c r="G1005" s="434">
        <f t="shared" si="130"/>
        <v>50.11</v>
      </c>
      <c r="H1005" s="678"/>
      <c r="I1005" s="153"/>
    </row>
    <row r="1006" spans="1:9" x14ac:dyDescent="0.25">
      <c r="A1006" s="583"/>
      <c r="B1006" s="429">
        <v>4750</v>
      </c>
      <c r="C1006" s="430" t="s">
        <v>261</v>
      </c>
      <c r="D1006" s="431" t="s">
        <v>257</v>
      </c>
      <c r="E1006" s="432">
        <v>6.95</v>
      </c>
      <c r="F1006" s="433">
        <v>14.79</v>
      </c>
      <c r="G1006" s="434">
        <f t="shared" si="130"/>
        <v>102.79</v>
      </c>
      <c r="H1006" s="678"/>
      <c r="I1006" s="153"/>
    </row>
    <row r="1007" spans="1:9" ht="22.5" x14ac:dyDescent="0.25">
      <c r="A1007" s="583"/>
      <c r="B1007" s="204">
        <v>10533</v>
      </c>
      <c r="C1007" s="205" t="s">
        <v>293</v>
      </c>
      <c r="D1007" s="206" t="s">
        <v>257</v>
      </c>
      <c r="E1007" s="385">
        <v>0.37</v>
      </c>
      <c r="F1007" s="208">
        <v>4.8</v>
      </c>
      <c r="G1007" s="210">
        <f t="shared" si="130"/>
        <v>1.78</v>
      </c>
      <c r="H1007" s="678"/>
      <c r="I1007" s="153"/>
    </row>
    <row r="1008" spans="1:9" ht="22.5" x14ac:dyDescent="0.25">
      <c r="A1008" s="583"/>
      <c r="B1008" s="204">
        <v>73546</v>
      </c>
      <c r="C1008" s="205" t="s">
        <v>37</v>
      </c>
      <c r="D1008" s="206" t="s">
        <v>272</v>
      </c>
      <c r="E1008" s="241">
        <v>0.1152</v>
      </c>
      <c r="F1008" s="208">
        <v>327.07</v>
      </c>
      <c r="G1008" s="210">
        <f>F1008*E1008</f>
        <v>37.68</v>
      </c>
      <c r="H1008" s="678"/>
      <c r="I1008" s="153"/>
    </row>
    <row r="1009" spans="1:9" x14ac:dyDescent="0.25">
      <c r="A1009" s="583"/>
      <c r="B1009" s="204">
        <v>7271</v>
      </c>
      <c r="C1009" s="240" t="s">
        <v>25</v>
      </c>
      <c r="D1009" s="206" t="s">
        <v>268</v>
      </c>
      <c r="E1009" s="241">
        <v>150</v>
      </c>
      <c r="F1009" s="208">
        <v>0.49</v>
      </c>
      <c r="G1009" s="210">
        <f>F1009*E1009</f>
        <v>73.5</v>
      </c>
      <c r="H1009" s="678"/>
      <c r="I1009" s="153"/>
    </row>
    <row r="1010" spans="1:9" ht="22.5" x14ac:dyDescent="0.25">
      <c r="A1010" s="583"/>
      <c r="B1010" s="204">
        <v>73449</v>
      </c>
      <c r="C1010" s="205" t="s">
        <v>297</v>
      </c>
      <c r="D1010" s="206" t="s">
        <v>272</v>
      </c>
      <c r="E1010" s="241">
        <v>0.06</v>
      </c>
      <c r="F1010" s="208">
        <v>336.61</v>
      </c>
      <c r="G1010" s="210">
        <f>F1010*E1010</f>
        <v>20.2</v>
      </c>
      <c r="H1010" s="678"/>
      <c r="I1010" s="153"/>
    </row>
    <row r="1011" spans="1:9" ht="22.5" x14ac:dyDescent="0.25">
      <c r="A1011" s="583"/>
      <c r="B1011" s="204">
        <v>7319</v>
      </c>
      <c r="C1011" s="205" t="s">
        <v>241</v>
      </c>
      <c r="D1011" s="206" t="s">
        <v>280</v>
      </c>
      <c r="E1011" s="241">
        <v>3.07</v>
      </c>
      <c r="F1011" s="208">
        <v>7.34</v>
      </c>
      <c r="G1011" s="210">
        <f>F1011*E1011</f>
        <v>22.53</v>
      </c>
      <c r="H1011" s="678"/>
      <c r="I1011" s="153"/>
    </row>
    <row r="1012" spans="1:9" ht="23.25" thickBot="1" x14ac:dyDescent="0.3">
      <c r="A1012" s="584"/>
      <c r="B1012" s="211">
        <v>6013</v>
      </c>
      <c r="C1012" s="216" t="s">
        <v>319</v>
      </c>
      <c r="D1012" s="212" t="s">
        <v>272</v>
      </c>
      <c r="E1012" s="271">
        <v>0.04</v>
      </c>
      <c r="F1012" s="214">
        <v>352.34</v>
      </c>
      <c r="G1012" s="215">
        <f>F1012*E1012</f>
        <v>14.09</v>
      </c>
      <c r="H1012" s="678"/>
      <c r="I1012" s="153"/>
    </row>
    <row r="1013" spans="1:9" ht="57" thickBot="1" x14ac:dyDescent="0.3">
      <c r="A1013" s="582" t="s">
        <v>1110</v>
      </c>
      <c r="B1013" s="310" t="s">
        <v>805</v>
      </c>
      <c r="C1013" s="394" t="s">
        <v>806</v>
      </c>
      <c r="D1013" s="43" t="s">
        <v>268</v>
      </c>
      <c r="E1013" s="44">
        <v>1</v>
      </c>
      <c r="F1013" s="30">
        <f>SUM(G1014:G1017)/E1013</f>
        <v>215.32</v>
      </c>
      <c r="G1013" s="45">
        <f t="shared" ref="G1013:G1016" si="131">F1013*E1013</f>
        <v>215.32</v>
      </c>
      <c r="H1013" s="688"/>
    </row>
    <row r="1014" spans="1:9" ht="12" thickBot="1" x14ac:dyDescent="0.3">
      <c r="A1014" s="583"/>
      <c r="B1014" s="142">
        <v>4750</v>
      </c>
      <c r="C1014" s="137" t="s">
        <v>261</v>
      </c>
      <c r="D1014" s="138" t="s">
        <v>257</v>
      </c>
      <c r="E1014" s="203">
        <f>0.5*E1013</f>
        <v>0.5</v>
      </c>
      <c r="F1014" s="201">
        <v>14.79</v>
      </c>
      <c r="G1014" s="143">
        <f t="shared" si="131"/>
        <v>7.4</v>
      </c>
      <c r="H1014" s="58" t="s">
        <v>59</v>
      </c>
      <c r="I1014" s="482">
        <f>H1015+H1017</f>
        <v>215.32</v>
      </c>
    </row>
    <row r="1015" spans="1:9" x14ac:dyDescent="0.25">
      <c r="A1015" s="583"/>
      <c r="B1015" s="142">
        <v>6111</v>
      </c>
      <c r="C1015" s="137" t="s">
        <v>274</v>
      </c>
      <c r="D1015" s="138" t="s">
        <v>257</v>
      </c>
      <c r="E1015" s="203">
        <f>0.5*E1013</f>
        <v>0.5</v>
      </c>
      <c r="F1015" s="201">
        <v>10.49</v>
      </c>
      <c r="G1015" s="143">
        <f t="shared" si="131"/>
        <v>5.25</v>
      </c>
      <c r="H1015" s="220">
        <f>(G1014+G1015+G1016)/E1013</f>
        <v>22.92</v>
      </c>
    </row>
    <row r="1016" spans="1:9" x14ac:dyDescent="0.25">
      <c r="A1016" s="583"/>
      <c r="B1016" s="142">
        <v>2696</v>
      </c>
      <c r="C1016" s="137" t="s">
        <v>260</v>
      </c>
      <c r="D1016" s="138" t="s">
        <v>257</v>
      </c>
      <c r="E1016" s="139">
        <f>0.6915*E1013</f>
        <v>0.6915</v>
      </c>
      <c r="F1016" s="140">
        <v>14.85</v>
      </c>
      <c r="G1016" s="198">
        <f t="shared" si="131"/>
        <v>10.27</v>
      </c>
      <c r="H1016" s="60" t="s">
        <v>60</v>
      </c>
    </row>
    <row r="1017" spans="1:9" ht="51" customHeight="1" thickBot="1" x14ac:dyDescent="0.3">
      <c r="A1017" s="584"/>
      <c r="B1017" s="395" t="s">
        <v>16</v>
      </c>
      <c r="C1017" s="396" t="s">
        <v>806</v>
      </c>
      <c r="D1017" s="397" t="s">
        <v>269</v>
      </c>
      <c r="E1017" s="398">
        <v>1</v>
      </c>
      <c r="F1017" s="399">
        <v>192.4</v>
      </c>
      <c r="G1017" s="393">
        <f>E1017*F1017</f>
        <v>192.4</v>
      </c>
      <c r="H1017" s="221">
        <f>F1013-H1015</f>
        <v>192.4</v>
      </c>
    </row>
    <row r="1018" spans="1:9" ht="34.5" thickBot="1" x14ac:dyDescent="0.3">
      <c r="A1018" s="582" t="s">
        <v>1111</v>
      </c>
      <c r="B1018" s="310" t="s">
        <v>809</v>
      </c>
      <c r="C1018" s="400" t="s">
        <v>807</v>
      </c>
      <c r="D1018" s="43" t="s">
        <v>268</v>
      </c>
      <c r="E1018" s="44">
        <v>1</v>
      </c>
      <c r="F1018" s="30">
        <f>SUM(G1019:G1023)/E1018</f>
        <v>15953.8</v>
      </c>
      <c r="G1018" s="384">
        <f>SUM(G1019:G1023)</f>
        <v>15953.8</v>
      </c>
      <c r="H1018" s="678"/>
      <c r="I1018" s="153"/>
    </row>
    <row r="1019" spans="1:9" ht="12" thickBot="1" x14ac:dyDescent="0.3">
      <c r="A1019" s="583"/>
      <c r="B1019" s="142">
        <v>4750</v>
      </c>
      <c r="C1019" s="137" t="s">
        <v>261</v>
      </c>
      <c r="D1019" s="138" t="s">
        <v>257</v>
      </c>
      <c r="E1019" s="203">
        <v>15</v>
      </c>
      <c r="F1019" s="201">
        <v>14.79</v>
      </c>
      <c r="G1019" s="143">
        <f t="shared" ref="G1019:G1022" si="132">F1019*E1019</f>
        <v>221.85</v>
      </c>
      <c r="H1019" s="58" t="s">
        <v>59</v>
      </c>
      <c r="I1019" s="482">
        <f>H1020+H1023</f>
        <v>15953.8</v>
      </c>
    </row>
    <row r="1020" spans="1:9" x14ac:dyDescent="0.25">
      <c r="A1020" s="583"/>
      <c r="B1020" s="142">
        <v>6111</v>
      </c>
      <c r="C1020" s="137" t="s">
        <v>274</v>
      </c>
      <c r="D1020" s="138" t="s">
        <v>257</v>
      </c>
      <c r="E1020" s="203">
        <v>23.597999999999999</v>
      </c>
      <c r="F1020" s="201">
        <v>10.49</v>
      </c>
      <c r="G1020" s="143">
        <f t="shared" si="132"/>
        <v>247.54</v>
      </c>
      <c r="H1020" s="220">
        <f>(G1019+G1020+G1021+G1022)/E1018</f>
        <v>1050.19</v>
      </c>
    </row>
    <row r="1021" spans="1:9" x14ac:dyDescent="0.25">
      <c r="A1021" s="583"/>
      <c r="B1021" s="142">
        <v>4752</v>
      </c>
      <c r="C1021" s="137" t="s">
        <v>808</v>
      </c>
      <c r="D1021" s="138" t="s">
        <v>257</v>
      </c>
      <c r="E1021" s="203">
        <v>30</v>
      </c>
      <c r="F1021" s="201">
        <v>14.41</v>
      </c>
      <c r="G1021" s="143">
        <f t="shared" si="132"/>
        <v>432.3</v>
      </c>
      <c r="H1021" s="220"/>
    </row>
    <row r="1022" spans="1:9" x14ac:dyDescent="0.25">
      <c r="A1022" s="583"/>
      <c r="B1022" s="142">
        <v>2696</v>
      </c>
      <c r="C1022" s="137" t="s">
        <v>260</v>
      </c>
      <c r="D1022" s="138" t="s">
        <v>257</v>
      </c>
      <c r="E1022" s="139">
        <v>10</v>
      </c>
      <c r="F1022" s="140">
        <v>14.85</v>
      </c>
      <c r="G1022" s="198">
        <f t="shared" si="132"/>
        <v>148.5</v>
      </c>
      <c r="H1022" s="60" t="s">
        <v>60</v>
      </c>
    </row>
    <row r="1023" spans="1:9" ht="34.5" thickBot="1" x14ac:dyDescent="0.3">
      <c r="A1023" s="584"/>
      <c r="B1023" s="395" t="s">
        <v>16</v>
      </c>
      <c r="C1023" s="396" t="s">
        <v>807</v>
      </c>
      <c r="D1023" s="397" t="s">
        <v>269</v>
      </c>
      <c r="E1023" s="398">
        <v>1</v>
      </c>
      <c r="F1023" s="399">
        <v>14903.61</v>
      </c>
      <c r="G1023" s="393">
        <f>E1023*F1023</f>
        <v>14903.61</v>
      </c>
      <c r="H1023" s="221">
        <f>F1018-H1020</f>
        <v>14903.61</v>
      </c>
    </row>
    <row r="1024" spans="1:9" ht="21.75" customHeight="1" thickBot="1" x14ac:dyDescent="0.3">
      <c r="A1024" s="832">
        <v>16</v>
      </c>
      <c r="B1024" s="833"/>
      <c r="C1024" s="822" t="s">
        <v>810</v>
      </c>
      <c r="D1024" s="823"/>
      <c r="E1024" s="823"/>
      <c r="F1024" s="823"/>
      <c r="G1024" s="823"/>
      <c r="H1024" s="824"/>
    </row>
    <row r="1025" spans="1:9" ht="23.25" thickBot="1" x14ac:dyDescent="0.3">
      <c r="A1025" s="583" t="s">
        <v>209</v>
      </c>
      <c r="B1025" s="599" t="s">
        <v>357</v>
      </c>
      <c r="C1025" s="106" t="s">
        <v>353</v>
      </c>
      <c r="D1025" s="107" t="s">
        <v>269</v>
      </c>
      <c r="E1025" s="610">
        <v>1</v>
      </c>
      <c r="F1025" s="49">
        <f>SUM(G1026:G1029)/E1025</f>
        <v>26.44</v>
      </c>
      <c r="G1025" s="334">
        <f t="shared" si="99"/>
        <v>26.44</v>
      </c>
      <c r="H1025" s="699">
        <f>(G1026+G1027)/E1025</f>
        <v>10.14</v>
      </c>
      <c r="I1025" s="482">
        <f>H1025+H1027</f>
        <v>26.44</v>
      </c>
    </row>
    <row r="1026" spans="1:9" x14ac:dyDescent="0.25">
      <c r="A1026" s="583"/>
      <c r="B1026" s="429">
        <v>2696</v>
      </c>
      <c r="C1026" s="430" t="s">
        <v>260</v>
      </c>
      <c r="D1026" s="431" t="s">
        <v>257</v>
      </c>
      <c r="E1026" s="432">
        <f>0.4*E1025</f>
        <v>0.4</v>
      </c>
      <c r="F1026" s="464">
        <v>14.85</v>
      </c>
      <c r="G1026" s="434">
        <f t="shared" si="99"/>
        <v>5.94</v>
      </c>
      <c r="H1026" s="64" t="s">
        <v>60</v>
      </c>
    </row>
    <row r="1027" spans="1:9" x14ac:dyDescent="0.25">
      <c r="A1027" s="583"/>
      <c r="B1027" s="429">
        <v>6115</v>
      </c>
      <c r="C1027" s="430" t="s">
        <v>4</v>
      </c>
      <c r="D1027" s="739" t="s">
        <v>281</v>
      </c>
      <c r="E1027" s="795">
        <f>0.4*E1025</f>
        <v>0.4</v>
      </c>
      <c r="F1027" s="464">
        <v>10.49</v>
      </c>
      <c r="G1027" s="741">
        <f t="shared" ref="G1027:G1029" si="133">F1027*E1027</f>
        <v>4.2</v>
      </c>
      <c r="H1027" s="277">
        <f>F1025-H1025</f>
        <v>16.3</v>
      </c>
    </row>
    <row r="1028" spans="1:9" x14ac:dyDescent="0.2">
      <c r="A1028" s="583"/>
      <c r="B1028" s="204">
        <v>20083</v>
      </c>
      <c r="C1028" s="205" t="s">
        <v>324</v>
      </c>
      <c r="D1028" s="206" t="s">
        <v>268</v>
      </c>
      <c r="E1028" s="241">
        <f>0.05*E1025</f>
        <v>0.05</v>
      </c>
      <c r="F1028" s="208">
        <v>35.64</v>
      </c>
      <c r="G1028" s="210">
        <f t="shared" si="133"/>
        <v>1.78</v>
      </c>
      <c r="H1028" s="700"/>
    </row>
    <row r="1029" spans="1:9" ht="12" thickBot="1" x14ac:dyDescent="0.25">
      <c r="A1029" s="584"/>
      <c r="B1029" s="278" t="s">
        <v>16</v>
      </c>
      <c r="C1029" s="279" t="s">
        <v>354</v>
      </c>
      <c r="D1029" s="280" t="s">
        <v>269</v>
      </c>
      <c r="E1029" s="297">
        <f>1*E1025</f>
        <v>1</v>
      </c>
      <c r="F1029" s="327">
        <f>12.1*1.2</f>
        <v>14.52</v>
      </c>
      <c r="G1029" s="283">
        <f t="shared" si="133"/>
        <v>14.52</v>
      </c>
      <c r="H1029" s="700" t="s">
        <v>59</v>
      </c>
    </row>
    <row r="1030" spans="1:9" ht="23.25" thickBot="1" x14ac:dyDescent="0.3">
      <c r="A1030" s="582" t="s">
        <v>210</v>
      </c>
      <c r="B1030" s="306" t="s">
        <v>361</v>
      </c>
      <c r="C1030" s="66" t="s">
        <v>359</v>
      </c>
      <c r="D1030" s="67" t="s">
        <v>269</v>
      </c>
      <c r="E1030" s="108">
        <v>1</v>
      </c>
      <c r="F1030" s="30">
        <f>SUM(G1031:G1034)/E1030</f>
        <v>19.78</v>
      </c>
      <c r="G1030" s="45">
        <f t="shared" ref="G1030:G1043" si="134">F1030*E1030</f>
        <v>19.78</v>
      </c>
      <c r="H1030" s="277">
        <f>(G1031+G1032)/E1030</f>
        <v>8.8699999999999992</v>
      </c>
      <c r="I1030" s="482">
        <f>H1030+H1032</f>
        <v>19.78</v>
      </c>
    </row>
    <row r="1031" spans="1:9" x14ac:dyDescent="0.25">
      <c r="A1031" s="583"/>
      <c r="B1031" s="429">
        <v>2696</v>
      </c>
      <c r="C1031" s="430" t="s">
        <v>260</v>
      </c>
      <c r="D1031" s="431" t="s">
        <v>257</v>
      </c>
      <c r="E1031" s="432">
        <f>0.35*E1030</f>
        <v>0.35</v>
      </c>
      <c r="F1031" s="464">
        <v>14.85</v>
      </c>
      <c r="G1031" s="434">
        <f t="shared" si="134"/>
        <v>5.2</v>
      </c>
      <c r="H1031" s="64" t="s">
        <v>60</v>
      </c>
    </row>
    <row r="1032" spans="1:9" x14ac:dyDescent="0.25">
      <c r="A1032" s="583"/>
      <c r="B1032" s="429">
        <v>6115</v>
      </c>
      <c r="C1032" s="430" t="s">
        <v>4</v>
      </c>
      <c r="D1032" s="739" t="s">
        <v>281</v>
      </c>
      <c r="E1032" s="796">
        <f>0.35*E1030</f>
        <v>0.35</v>
      </c>
      <c r="F1032" s="464">
        <v>10.49</v>
      </c>
      <c r="G1032" s="741">
        <f t="shared" si="134"/>
        <v>3.67</v>
      </c>
      <c r="H1032" s="277">
        <f>F1030-H1030</f>
        <v>10.91</v>
      </c>
    </row>
    <row r="1033" spans="1:9" x14ac:dyDescent="0.25">
      <c r="A1033" s="583"/>
      <c r="B1033" s="204">
        <v>20083</v>
      </c>
      <c r="C1033" s="205" t="s">
        <v>324</v>
      </c>
      <c r="D1033" s="206" t="s">
        <v>268</v>
      </c>
      <c r="E1033" s="241">
        <f>0.015*E1030</f>
        <v>1.4999999999999999E-2</v>
      </c>
      <c r="F1033" s="208">
        <v>35.64</v>
      </c>
      <c r="G1033" s="210">
        <f t="shared" si="134"/>
        <v>0.53</v>
      </c>
      <c r="H1033" s="684"/>
    </row>
    <row r="1034" spans="1:9" ht="12" thickBot="1" x14ac:dyDescent="0.25">
      <c r="A1034" s="584"/>
      <c r="B1034" s="278" t="s">
        <v>16</v>
      </c>
      <c r="C1034" s="279" t="s">
        <v>360</v>
      </c>
      <c r="D1034" s="280" t="s">
        <v>269</v>
      </c>
      <c r="E1034" s="322">
        <f>1*E1030</f>
        <v>1</v>
      </c>
      <c r="F1034" s="327">
        <f>8.65*1.2</f>
        <v>10.38</v>
      </c>
      <c r="G1034" s="283">
        <f t="shared" si="134"/>
        <v>10.38</v>
      </c>
      <c r="H1034" s="700" t="s">
        <v>59</v>
      </c>
    </row>
    <row r="1035" spans="1:9" ht="23.25" thickBot="1" x14ac:dyDescent="0.3">
      <c r="A1035" s="582" t="s">
        <v>211</v>
      </c>
      <c r="B1035" s="306" t="s">
        <v>358</v>
      </c>
      <c r="C1035" s="66" t="s">
        <v>355</v>
      </c>
      <c r="D1035" s="67" t="s">
        <v>269</v>
      </c>
      <c r="E1035" s="108">
        <v>1</v>
      </c>
      <c r="F1035" s="30">
        <f>SUM(G1036:G1039)/E1035</f>
        <v>14.75</v>
      </c>
      <c r="G1035" s="45">
        <f t="shared" si="134"/>
        <v>14.75</v>
      </c>
      <c r="H1035" s="63">
        <f>(G1036+G1037)/E1035</f>
        <v>7.61</v>
      </c>
      <c r="I1035" s="482">
        <f>H1035+H1037</f>
        <v>14.75</v>
      </c>
    </row>
    <row r="1036" spans="1:9" x14ac:dyDescent="0.25">
      <c r="A1036" s="583"/>
      <c r="B1036" s="429">
        <v>2696</v>
      </c>
      <c r="C1036" s="430" t="s">
        <v>260</v>
      </c>
      <c r="D1036" s="431" t="s">
        <v>257</v>
      </c>
      <c r="E1036" s="432">
        <f>0.3*E1035</f>
        <v>0.3</v>
      </c>
      <c r="F1036" s="464">
        <v>14.85</v>
      </c>
      <c r="G1036" s="434">
        <f t="shared" si="134"/>
        <v>4.46</v>
      </c>
      <c r="H1036" s="64" t="s">
        <v>60</v>
      </c>
    </row>
    <row r="1037" spans="1:9" x14ac:dyDescent="0.25">
      <c r="A1037" s="583"/>
      <c r="B1037" s="429">
        <v>6115</v>
      </c>
      <c r="C1037" s="430" t="s">
        <v>4</v>
      </c>
      <c r="D1037" s="739" t="s">
        <v>281</v>
      </c>
      <c r="E1037" s="796">
        <f>0.3*E1035</f>
        <v>0.3</v>
      </c>
      <c r="F1037" s="464">
        <v>10.49</v>
      </c>
      <c r="G1037" s="741">
        <f t="shared" si="134"/>
        <v>3.15</v>
      </c>
      <c r="H1037" s="63">
        <f>F1035-H1035</f>
        <v>7.14</v>
      </c>
    </row>
    <row r="1038" spans="1:9" x14ac:dyDescent="0.25">
      <c r="A1038" s="583"/>
      <c r="B1038" s="204">
        <v>20083</v>
      </c>
      <c r="C1038" s="205" t="s">
        <v>324</v>
      </c>
      <c r="D1038" s="206" t="s">
        <v>268</v>
      </c>
      <c r="E1038" s="241">
        <f>0.005*E1035</f>
        <v>5.0000000000000001E-3</v>
      </c>
      <c r="F1038" s="208">
        <v>35.64</v>
      </c>
      <c r="G1038" s="210">
        <f t="shared" si="134"/>
        <v>0.18</v>
      </c>
      <c r="H1038" s="684"/>
    </row>
    <row r="1039" spans="1:9" ht="12" thickBot="1" x14ac:dyDescent="0.25">
      <c r="A1039" s="584"/>
      <c r="B1039" s="278" t="s">
        <v>16</v>
      </c>
      <c r="C1039" s="279" t="s">
        <v>356</v>
      </c>
      <c r="D1039" s="224" t="s">
        <v>269</v>
      </c>
      <c r="E1039" s="325">
        <f>1*E1035</f>
        <v>1</v>
      </c>
      <c r="F1039" s="326">
        <f>5.8*1.2</f>
        <v>6.96</v>
      </c>
      <c r="G1039" s="227">
        <f t="shared" ref="G1039" si="135">F1039*E1039</f>
        <v>6.96</v>
      </c>
      <c r="H1039" s="700" t="s">
        <v>59</v>
      </c>
    </row>
    <row r="1040" spans="1:9" ht="23.25" thickBot="1" x14ac:dyDescent="0.3">
      <c r="A1040" s="582" t="s">
        <v>1112</v>
      </c>
      <c r="B1040" s="306" t="s">
        <v>667</v>
      </c>
      <c r="C1040" s="66" t="s">
        <v>666</v>
      </c>
      <c r="D1040" s="67" t="s">
        <v>269</v>
      </c>
      <c r="E1040" s="108">
        <v>1</v>
      </c>
      <c r="F1040" s="30">
        <f>SUM(G1041:G1044)/E1040</f>
        <v>12.82</v>
      </c>
      <c r="G1040" s="45">
        <f t="shared" si="134"/>
        <v>12.82</v>
      </c>
      <c r="H1040" s="277">
        <f>(G1041+G1042)/E1040</f>
        <v>7.1</v>
      </c>
      <c r="I1040" s="482">
        <f>H1040+H1042</f>
        <v>12.82</v>
      </c>
    </row>
    <row r="1041" spans="1:9" x14ac:dyDescent="0.25">
      <c r="A1041" s="583"/>
      <c r="B1041" s="429">
        <v>2696</v>
      </c>
      <c r="C1041" s="430" t="s">
        <v>260</v>
      </c>
      <c r="D1041" s="431" t="s">
        <v>257</v>
      </c>
      <c r="E1041" s="432">
        <f>0.28*E1040</f>
        <v>0.28000000000000003</v>
      </c>
      <c r="F1041" s="464">
        <v>14.85</v>
      </c>
      <c r="G1041" s="434">
        <f t="shared" si="134"/>
        <v>4.16</v>
      </c>
      <c r="H1041" s="64" t="s">
        <v>60</v>
      </c>
    </row>
    <row r="1042" spans="1:9" x14ac:dyDescent="0.25">
      <c r="A1042" s="583"/>
      <c r="B1042" s="429">
        <v>6115</v>
      </c>
      <c r="C1042" s="430" t="s">
        <v>4</v>
      </c>
      <c r="D1042" s="739" t="s">
        <v>281</v>
      </c>
      <c r="E1042" s="796">
        <f>0.28*E1040</f>
        <v>0.28000000000000003</v>
      </c>
      <c r="F1042" s="464">
        <v>10.49</v>
      </c>
      <c r="G1042" s="741">
        <f t="shared" si="134"/>
        <v>2.94</v>
      </c>
      <c r="H1042" s="277">
        <f>F1040-H1040</f>
        <v>5.72</v>
      </c>
    </row>
    <row r="1043" spans="1:9" x14ac:dyDescent="0.25">
      <c r="A1043" s="583"/>
      <c r="B1043" s="204">
        <v>20083</v>
      </c>
      <c r="C1043" s="205" t="s">
        <v>324</v>
      </c>
      <c r="D1043" s="206" t="s">
        <v>268</v>
      </c>
      <c r="E1043" s="241">
        <f>0.005*E1040</f>
        <v>5.0000000000000001E-3</v>
      </c>
      <c r="F1043" s="208">
        <v>35.64</v>
      </c>
      <c r="G1043" s="210">
        <f t="shared" si="134"/>
        <v>0.18</v>
      </c>
      <c r="H1043" s="684"/>
    </row>
    <row r="1044" spans="1:9" ht="12" thickBot="1" x14ac:dyDescent="0.25">
      <c r="A1044" s="584"/>
      <c r="B1044" s="278" t="s">
        <v>16</v>
      </c>
      <c r="C1044" s="279" t="s">
        <v>356</v>
      </c>
      <c r="D1044" s="224" t="s">
        <v>269</v>
      </c>
      <c r="E1044" s="325">
        <f>1*E1040</f>
        <v>1</v>
      </c>
      <c r="F1044" s="326">
        <f>4.62*1.2</f>
        <v>5.54</v>
      </c>
      <c r="G1044" s="227">
        <f t="shared" ref="G1044:G1059" si="136">F1044*E1044</f>
        <v>5.54</v>
      </c>
      <c r="H1044" s="700" t="s">
        <v>59</v>
      </c>
    </row>
    <row r="1045" spans="1:9" ht="23.25" thickBot="1" x14ac:dyDescent="0.3">
      <c r="A1045" s="582" t="s">
        <v>1113</v>
      </c>
      <c r="B1045" s="590" t="s">
        <v>668</v>
      </c>
      <c r="C1045" s="66" t="s">
        <v>669</v>
      </c>
      <c r="D1045" s="79" t="s">
        <v>268</v>
      </c>
      <c r="E1045" s="87">
        <v>1</v>
      </c>
      <c r="F1045" s="49">
        <f>SUM(G1046:G1049)/E1045</f>
        <v>28.79</v>
      </c>
      <c r="G1045" s="94">
        <f t="shared" si="136"/>
        <v>28.79</v>
      </c>
      <c r="H1045" s="277">
        <f>(G1046+G1047)/E1045</f>
        <v>10.14</v>
      </c>
      <c r="I1045" s="482">
        <f>H1045+H1047</f>
        <v>28.79</v>
      </c>
    </row>
    <row r="1046" spans="1:9" x14ac:dyDescent="0.25">
      <c r="A1046" s="583"/>
      <c r="B1046" s="621">
        <v>2696</v>
      </c>
      <c r="C1046" s="430" t="s">
        <v>260</v>
      </c>
      <c r="D1046" s="431" t="s">
        <v>257</v>
      </c>
      <c r="E1046" s="432">
        <f>0.4*E1045</f>
        <v>0.4</v>
      </c>
      <c r="F1046" s="464">
        <v>14.85</v>
      </c>
      <c r="G1046" s="434">
        <f t="shared" si="136"/>
        <v>5.94</v>
      </c>
      <c r="H1046" s="64" t="s">
        <v>60</v>
      </c>
    </row>
    <row r="1047" spans="1:9" x14ac:dyDescent="0.25">
      <c r="A1047" s="583"/>
      <c r="B1047" s="621">
        <v>6115</v>
      </c>
      <c r="C1047" s="430" t="s">
        <v>4</v>
      </c>
      <c r="D1047" s="739" t="s">
        <v>281</v>
      </c>
      <c r="E1047" s="796">
        <f>0.4*E1045</f>
        <v>0.4</v>
      </c>
      <c r="F1047" s="464">
        <v>10.49</v>
      </c>
      <c r="G1047" s="741">
        <f t="shared" si="136"/>
        <v>4.2</v>
      </c>
      <c r="H1047" s="277">
        <f>F1045-H1045</f>
        <v>18.649999999999999</v>
      </c>
    </row>
    <row r="1048" spans="1:9" x14ac:dyDescent="0.25">
      <c r="A1048" s="583"/>
      <c r="B1048" s="611">
        <v>20083</v>
      </c>
      <c r="C1048" s="314" t="s">
        <v>324</v>
      </c>
      <c r="D1048" s="315" t="s">
        <v>268</v>
      </c>
      <c r="E1048" s="316">
        <f>0.05*E1045</f>
        <v>0.05</v>
      </c>
      <c r="F1048" s="317">
        <v>35.64</v>
      </c>
      <c r="G1048" s="349">
        <f t="shared" si="136"/>
        <v>1.78</v>
      </c>
      <c r="H1048" s="684"/>
    </row>
    <row r="1049" spans="1:9" ht="12" thickBot="1" x14ac:dyDescent="0.25">
      <c r="A1049" s="584"/>
      <c r="B1049" s="612" t="s">
        <v>16</v>
      </c>
      <c r="C1049" s="351" t="s">
        <v>367</v>
      </c>
      <c r="D1049" s="352" t="s">
        <v>269</v>
      </c>
      <c r="E1049" s="353">
        <f>1*E1045</f>
        <v>1</v>
      </c>
      <c r="F1049" s="327">
        <f>14.06*1.2</f>
        <v>16.87</v>
      </c>
      <c r="G1049" s="354">
        <f t="shared" si="136"/>
        <v>16.87</v>
      </c>
      <c r="H1049" s="700" t="s">
        <v>59</v>
      </c>
    </row>
    <row r="1050" spans="1:9" ht="23.25" thickBot="1" x14ac:dyDescent="0.3">
      <c r="A1050" s="582" t="s">
        <v>1114</v>
      </c>
      <c r="B1050" s="590" t="s">
        <v>365</v>
      </c>
      <c r="C1050" s="66" t="s">
        <v>366</v>
      </c>
      <c r="D1050" s="79" t="s">
        <v>268</v>
      </c>
      <c r="E1050" s="87">
        <v>1</v>
      </c>
      <c r="F1050" s="49">
        <f>SUM(G1051:G1054)/E1050</f>
        <v>19.66</v>
      </c>
      <c r="G1050" s="94">
        <f t="shared" si="136"/>
        <v>19.66</v>
      </c>
      <c r="H1050" s="277">
        <f>(G1051+G1052)/E1050</f>
        <v>8.8699999999999992</v>
      </c>
      <c r="I1050" s="482">
        <f>H1050+H1052</f>
        <v>19.66</v>
      </c>
    </row>
    <row r="1051" spans="1:9" x14ac:dyDescent="0.25">
      <c r="A1051" s="583"/>
      <c r="B1051" s="621">
        <v>2696</v>
      </c>
      <c r="C1051" s="430" t="s">
        <v>260</v>
      </c>
      <c r="D1051" s="431" t="s">
        <v>257</v>
      </c>
      <c r="E1051" s="432">
        <f>0.35*E1050</f>
        <v>0.35</v>
      </c>
      <c r="F1051" s="464">
        <v>14.85</v>
      </c>
      <c r="G1051" s="434">
        <f t="shared" si="136"/>
        <v>5.2</v>
      </c>
      <c r="H1051" s="64" t="s">
        <v>60</v>
      </c>
    </row>
    <row r="1052" spans="1:9" x14ac:dyDescent="0.25">
      <c r="A1052" s="583"/>
      <c r="B1052" s="621">
        <v>6115</v>
      </c>
      <c r="C1052" s="430" t="s">
        <v>4</v>
      </c>
      <c r="D1052" s="739" t="s">
        <v>281</v>
      </c>
      <c r="E1052" s="796">
        <f>0.35*E1050</f>
        <v>0.35</v>
      </c>
      <c r="F1052" s="464">
        <v>10.49</v>
      </c>
      <c r="G1052" s="741">
        <f t="shared" si="136"/>
        <v>3.67</v>
      </c>
      <c r="H1052" s="277">
        <f>F1050-H1050</f>
        <v>10.79</v>
      </c>
    </row>
    <row r="1053" spans="1:9" x14ac:dyDescent="0.25">
      <c r="A1053" s="583"/>
      <c r="B1053" s="291">
        <v>20083</v>
      </c>
      <c r="C1053" s="205" t="s">
        <v>324</v>
      </c>
      <c r="D1053" s="206" t="s">
        <v>268</v>
      </c>
      <c r="E1053" s="241">
        <f>0.015*E1050</f>
        <v>1.4999999999999999E-2</v>
      </c>
      <c r="F1053" s="317">
        <v>35.64</v>
      </c>
      <c r="G1053" s="210">
        <f t="shared" si="136"/>
        <v>0.53</v>
      </c>
      <c r="H1053" s="684"/>
    </row>
    <row r="1054" spans="1:9" ht="12" thickBot="1" x14ac:dyDescent="0.25">
      <c r="A1054" s="584"/>
      <c r="B1054" s="608" t="s">
        <v>16</v>
      </c>
      <c r="C1054" s="279" t="s">
        <v>367</v>
      </c>
      <c r="D1054" s="280" t="s">
        <v>269</v>
      </c>
      <c r="E1054" s="322">
        <f>1*E1050</f>
        <v>1</v>
      </c>
      <c r="F1054" s="327">
        <f>8.55*1.2</f>
        <v>10.26</v>
      </c>
      <c r="G1054" s="283">
        <f t="shared" si="136"/>
        <v>10.26</v>
      </c>
      <c r="H1054" s="700" t="s">
        <v>59</v>
      </c>
    </row>
    <row r="1055" spans="1:9" ht="23.25" thickBot="1" x14ac:dyDescent="0.3">
      <c r="A1055" s="582" t="s">
        <v>1115</v>
      </c>
      <c r="B1055" s="305" t="s">
        <v>363</v>
      </c>
      <c r="C1055" s="66" t="s">
        <v>362</v>
      </c>
      <c r="D1055" s="43" t="s">
        <v>268</v>
      </c>
      <c r="E1055" s="44">
        <v>1</v>
      </c>
      <c r="F1055" s="30">
        <f>SUM(G1056:G1059)/E1055</f>
        <v>14.63</v>
      </c>
      <c r="G1055" s="45">
        <f t="shared" si="136"/>
        <v>14.63</v>
      </c>
      <c r="H1055" s="277">
        <f>(G1056+G1057)/E1055</f>
        <v>7.61</v>
      </c>
      <c r="I1055" s="482">
        <f>H1055+H1057</f>
        <v>14.63</v>
      </c>
    </row>
    <row r="1056" spans="1:9" x14ac:dyDescent="0.25">
      <c r="A1056" s="583"/>
      <c r="B1056" s="429">
        <v>2696</v>
      </c>
      <c r="C1056" s="430" t="s">
        <v>260</v>
      </c>
      <c r="D1056" s="431" t="s">
        <v>257</v>
      </c>
      <c r="E1056" s="432">
        <f>0.3*E1055</f>
        <v>0.3</v>
      </c>
      <c r="F1056" s="464">
        <v>14.85</v>
      </c>
      <c r="G1056" s="434">
        <f t="shared" si="136"/>
        <v>4.46</v>
      </c>
      <c r="H1056" s="64" t="s">
        <v>60</v>
      </c>
    </row>
    <row r="1057" spans="1:9" x14ac:dyDescent="0.25">
      <c r="A1057" s="583"/>
      <c r="B1057" s="429">
        <v>6115</v>
      </c>
      <c r="C1057" s="430" t="s">
        <v>4</v>
      </c>
      <c r="D1057" s="739" t="s">
        <v>281</v>
      </c>
      <c r="E1057" s="795">
        <f>0.3*E1055</f>
        <v>0.3</v>
      </c>
      <c r="F1057" s="464">
        <v>10.49</v>
      </c>
      <c r="G1057" s="741">
        <f t="shared" si="136"/>
        <v>3.15</v>
      </c>
      <c r="H1057" s="277">
        <f>F1055-H1055</f>
        <v>7.02</v>
      </c>
    </row>
    <row r="1058" spans="1:9" x14ac:dyDescent="0.25">
      <c r="A1058" s="583"/>
      <c r="B1058" s="204">
        <v>20083</v>
      </c>
      <c r="C1058" s="205" t="s">
        <v>324</v>
      </c>
      <c r="D1058" s="206" t="s">
        <v>268</v>
      </c>
      <c r="E1058" s="241">
        <f>0.005*E1055</f>
        <v>5.0000000000000001E-3</v>
      </c>
      <c r="F1058" s="317">
        <v>35.64</v>
      </c>
      <c r="G1058" s="210">
        <f t="shared" si="136"/>
        <v>0.18</v>
      </c>
      <c r="H1058" s="684"/>
    </row>
    <row r="1059" spans="1:9" ht="12" thickBot="1" x14ac:dyDescent="0.25">
      <c r="A1059" s="584"/>
      <c r="B1059" s="278" t="s">
        <v>16</v>
      </c>
      <c r="C1059" s="279" t="s">
        <v>364</v>
      </c>
      <c r="D1059" s="280" t="s">
        <v>269</v>
      </c>
      <c r="E1059" s="297">
        <f>1*E1055</f>
        <v>1</v>
      </c>
      <c r="F1059" s="327">
        <f>5.7*1.2</f>
        <v>6.84</v>
      </c>
      <c r="G1059" s="283">
        <f t="shared" si="136"/>
        <v>6.84</v>
      </c>
      <c r="H1059" s="700" t="s">
        <v>59</v>
      </c>
    </row>
    <row r="1060" spans="1:9" ht="23.25" thickBot="1" x14ac:dyDescent="0.3">
      <c r="A1060" s="582" t="s">
        <v>1116</v>
      </c>
      <c r="B1060" s="305" t="s">
        <v>671</v>
      </c>
      <c r="C1060" s="66" t="s">
        <v>670</v>
      </c>
      <c r="D1060" s="43" t="s">
        <v>268</v>
      </c>
      <c r="E1060" s="44">
        <v>1</v>
      </c>
      <c r="F1060" s="30">
        <f>SUM(G1061:G1064)/E1060</f>
        <v>12.8</v>
      </c>
      <c r="G1060" s="45">
        <f t="shared" ref="G1060:G1089" si="137">F1060*E1060</f>
        <v>12.8</v>
      </c>
      <c r="H1060" s="277">
        <f>(G1061+G1062)/E1060</f>
        <v>7.1</v>
      </c>
      <c r="I1060" s="482">
        <f>H1060+H1062</f>
        <v>12.8</v>
      </c>
    </row>
    <row r="1061" spans="1:9" x14ac:dyDescent="0.25">
      <c r="A1061" s="583"/>
      <c r="B1061" s="429">
        <v>2696</v>
      </c>
      <c r="C1061" s="430" t="s">
        <v>260</v>
      </c>
      <c r="D1061" s="431" t="s">
        <v>257</v>
      </c>
      <c r="E1061" s="432">
        <f>0.28*E1060</f>
        <v>0.28000000000000003</v>
      </c>
      <c r="F1061" s="464">
        <v>14.85</v>
      </c>
      <c r="G1061" s="434">
        <f t="shared" si="137"/>
        <v>4.16</v>
      </c>
      <c r="H1061" s="64" t="s">
        <v>60</v>
      </c>
    </row>
    <row r="1062" spans="1:9" x14ac:dyDescent="0.25">
      <c r="A1062" s="583"/>
      <c r="B1062" s="429">
        <v>6115</v>
      </c>
      <c r="C1062" s="430" t="s">
        <v>4</v>
      </c>
      <c r="D1062" s="739" t="s">
        <v>281</v>
      </c>
      <c r="E1062" s="795">
        <f>0.28*E1060</f>
        <v>0.28000000000000003</v>
      </c>
      <c r="F1062" s="464">
        <v>10.49</v>
      </c>
      <c r="G1062" s="741">
        <f t="shared" si="137"/>
        <v>2.94</v>
      </c>
      <c r="H1062" s="277">
        <f>F1060-H1060</f>
        <v>5.7</v>
      </c>
    </row>
    <row r="1063" spans="1:9" x14ac:dyDescent="0.25">
      <c r="A1063" s="583"/>
      <c r="B1063" s="204">
        <v>20083</v>
      </c>
      <c r="C1063" s="205" t="s">
        <v>324</v>
      </c>
      <c r="D1063" s="206" t="s">
        <v>268</v>
      </c>
      <c r="E1063" s="241">
        <f>0.005*E1060</f>
        <v>5.0000000000000001E-3</v>
      </c>
      <c r="F1063" s="317">
        <v>35.64</v>
      </c>
      <c r="G1063" s="210">
        <f t="shared" si="137"/>
        <v>0.18</v>
      </c>
      <c r="H1063" s="684"/>
    </row>
    <row r="1064" spans="1:9" ht="12" thickBot="1" x14ac:dyDescent="0.25">
      <c r="A1064" s="584"/>
      <c r="B1064" s="278" t="s">
        <v>16</v>
      </c>
      <c r="C1064" s="279" t="s">
        <v>364</v>
      </c>
      <c r="D1064" s="280" t="s">
        <v>269</v>
      </c>
      <c r="E1064" s="297">
        <f>1*E1060</f>
        <v>1</v>
      </c>
      <c r="F1064" s="327">
        <f>4.6*1.2</f>
        <v>5.52</v>
      </c>
      <c r="G1064" s="283">
        <f t="shared" si="137"/>
        <v>5.52</v>
      </c>
      <c r="H1064" s="700" t="s">
        <v>59</v>
      </c>
    </row>
    <row r="1065" spans="1:9" ht="23.25" thickBot="1" x14ac:dyDescent="0.3">
      <c r="A1065" s="582" t="s">
        <v>1117</v>
      </c>
      <c r="B1065" s="305" t="s">
        <v>673</v>
      </c>
      <c r="C1065" s="42" t="s">
        <v>672</v>
      </c>
      <c r="D1065" s="43" t="s">
        <v>268</v>
      </c>
      <c r="E1065" s="75">
        <v>1</v>
      </c>
      <c r="F1065" s="30">
        <f>SUM(G1066:G1069)/E1065</f>
        <v>34.21</v>
      </c>
      <c r="G1065" s="45">
        <f t="shared" si="137"/>
        <v>34.21</v>
      </c>
      <c r="H1065" s="277">
        <f>(G1066+G1067)/E1065</f>
        <v>11.4</v>
      </c>
      <c r="I1065" s="482">
        <f>H1065+H1067</f>
        <v>34.21</v>
      </c>
    </row>
    <row r="1066" spans="1:9" x14ac:dyDescent="0.25">
      <c r="A1066" s="583"/>
      <c r="B1066" s="429">
        <v>2696</v>
      </c>
      <c r="C1066" s="430" t="s">
        <v>260</v>
      </c>
      <c r="D1066" s="431" t="s">
        <v>257</v>
      </c>
      <c r="E1066" s="432">
        <f>0.45*E1065</f>
        <v>0.45</v>
      </c>
      <c r="F1066" s="464">
        <v>14.85</v>
      </c>
      <c r="G1066" s="434">
        <f t="shared" si="137"/>
        <v>6.68</v>
      </c>
      <c r="H1066" s="64" t="s">
        <v>60</v>
      </c>
    </row>
    <row r="1067" spans="1:9" x14ac:dyDescent="0.25">
      <c r="A1067" s="583"/>
      <c r="B1067" s="429">
        <v>6115</v>
      </c>
      <c r="C1067" s="430" t="s">
        <v>4</v>
      </c>
      <c r="D1067" s="431" t="s">
        <v>268</v>
      </c>
      <c r="E1067" s="796">
        <f>0.45*E1065</f>
        <v>0.45</v>
      </c>
      <c r="F1067" s="464">
        <v>10.49</v>
      </c>
      <c r="G1067" s="741">
        <f t="shared" si="137"/>
        <v>4.72</v>
      </c>
      <c r="H1067" s="277">
        <f>F1065-H1065</f>
        <v>22.81</v>
      </c>
    </row>
    <row r="1068" spans="1:9" x14ac:dyDescent="0.25">
      <c r="A1068" s="583"/>
      <c r="B1068" s="204">
        <v>20083</v>
      </c>
      <c r="C1068" s="205" t="s">
        <v>324</v>
      </c>
      <c r="D1068" s="206" t="s">
        <v>257</v>
      </c>
      <c r="E1068" s="241">
        <f>0.01*E1065</f>
        <v>0.01</v>
      </c>
      <c r="F1068" s="317">
        <v>35.64</v>
      </c>
      <c r="G1068" s="210">
        <f t="shared" si="137"/>
        <v>0.36</v>
      </c>
      <c r="H1068" s="684"/>
    </row>
    <row r="1069" spans="1:9" ht="12" thickBot="1" x14ac:dyDescent="0.25">
      <c r="A1069" s="584"/>
      <c r="B1069" s="278" t="s">
        <v>16</v>
      </c>
      <c r="C1069" s="279" t="s">
        <v>368</v>
      </c>
      <c r="D1069" s="212" t="s">
        <v>268</v>
      </c>
      <c r="E1069" s="322">
        <f>1*E1065</f>
        <v>1</v>
      </c>
      <c r="F1069" s="327">
        <f>18.71*1.2</f>
        <v>22.45</v>
      </c>
      <c r="G1069" s="283">
        <f t="shared" si="137"/>
        <v>22.45</v>
      </c>
      <c r="H1069" s="700" t="s">
        <v>59</v>
      </c>
    </row>
    <row r="1070" spans="1:9" ht="23.25" thickBot="1" x14ac:dyDescent="0.3">
      <c r="A1070" s="582" t="s">
        <v>1118</v>
      </c>
      <c r="B1070" s="305" t="s">
        <v>370</v>
      </c>
      <c r="C1070" s="42" t="s">
        <v>369</v>
      </c>
      <c r="D1070" s="43" t="s">
        <v>268</v>
      </c>
      <c r="E1070" s="75">
        <v>1</v>
      </c>
      <c r="F1070" s="30">
        <f>SUM(G1071:G1074)/E1070</f>
        <v>23.94</v>
      </c>
      <c r="G1070" s="45">
        <f t="shared" si="137"/>
        <v>23.94</v>
      </c>
      <c r="H1070" s="277">
        <f>(G1071+G1072)/E1070</f>
        <v>8.8699999999999992</v>
      </c>
      <c r="I1070" s="482">
        <f>H1070+H1072</f>
        <v>23.94</v>
      </c>
    </row>
    <row r="1071" spans="1:9" x14ac:dyDescent="0.25">
      <c r="A1071" s="583"/>
      <c r="B1071" s="429">
        <v>2696</v>
      </c>
      <c r="C1071" s="430" t="s">
        <v>260</v>
      </c>
      <c r="D1071" s="431" t="s">
        <v>257</v>
      </c>
      <c r="E1071" s="432">
        <f>0.35*E1070</f>
        <v>0.35</v>
      </c>
      <c r="F1071" s="464">
        <v>14.85</v>
      </c>
      <c r="G1071" s="434">
        <f t="shared" si="137"/>
        <v>5.2</v>
      </c>
      <c r="H1071" s="64" t="s">
        <v>60</v>
      </c>
    </row>
    <row r="1072" spans="1:9" x14ac:dyDescent="0.25">
      <c r="A1072" s="583"/>
      <c r="B1072" s="429">
        <v>6115</v>
      </c>
      <c r="C1072" s="430" t="s">
        <v>4</v>
      </c>
      <c r="D1072" s="431" t="s">
        <v>268</v>
      </c>
      <c r="E1072" s="796">
        <f>0.35*E1070</f>
        <v>0.35</v>
      </c>
      <c r="F1072" s="464">
        <v>10.49</v>
      </c>
      <c r="G1072" s="741">
        <f t="shared" si="137"/>
        <v>3.67</v>
      </c>
      <c r="H1072" s="277">
        <f>F1070-H1070</f>
        <v>15.07</v>
      </c>
    </row>
    <row r="1073" spans="1:9" x14ac:dyDescent="0.25">
      <c r="A1073" s="583"/>
      <c r="B1073" s="204">
        <v>20083</v>
      </c>
      <c r="C1073" s="205" t="s">
        <v>324</v>
      </c>
      <c r="D1073" s="206" t="s">
        <v>257</v>
      </c>
      <c r="E1073" s="241">
        <f>0.002*E1070</f>
        <v>2E-3</v>
      </c>
      <c r="F1073" s="317">
        <v>35.64</v>
      </c>
      <c r="G1073" s="210">
        <f t="shared" si="137"/>
        <v>7.0000000000000007E-2</v>
      </c>
      <c r="H1073" s="684"/>
    </row>
    <row r="1074" spans="1:9" ht="12" thickBot="1" x14ac:dyDescent="0.25">
      <c r="A1074" s="584"/>
      <c r="B1074" s="278" t="s">
        <v>16</v>
      </c>
      <c r="C1074" s="279" t="s">
        <v>371</v>
      </c>
      <c r="D1074" s="212" t="s">
        <v>268</v>
      </c>
      <c r="E1074" s="322">
        <f>1*E1070</f>
        <v>1</v>
      </c>
      <c r="F1074" s="327">
        <f>12.5*1.2</f>
        <v>15</v>
      </c>
      <c r="G1074" s="283">
        <f t="shared" si="137"/>
        <v>15</v>
      </c>
      <c r="H1074" s="700" t="s">
        <v>59</v>
      </c>
    </row>
    <row r="1075" spans="1:9" ht="23.25" thickBot="1" x14ac:dyDescent="0.3">
      <c r="A1075" s="582" t="s">
        <v>1119</v>
      </c>
      <c r="B1075" s="305" t="s">
        <v>675</v>
      </c>
      <c r="C1075" s="42" t="s">
        <v>674</v>
      </c>
      <c r="D1075" s="43" t="s">
        <v>268</v>
      </c>
      <c r="E1075" s="75">
        <v>1</v>
      </c>
      <c r="F1075" s="30">
        <f>SUM(G1076:G1079)/E1075</f>
        <v>19.66</v>
      </c>
      <c r="G1075" s="45">
        <f t="shared" ref="G1075:G1084" si="138">F1075*E1075</f>
        <v>19.66</v>
      </c>
      <c r="H1075" s="277">
        <f>(G1076+G1077)/E1075</f>
        <v>7.61</v>
      </c>
      <c r="I1075" s="482">
        <f>H1075+H1077</f>
        <v>19.66</v>
      </c>
    </row>
    <row r="1076" spans="1:9" x14ac:dyDescent="0.25">
      <c r="A1076" s="583"/>
      <c r="B1076" s="429">
        <v>2696</v>
      </c>
      <c r="C1076" s="430" t="s">
        <v>260</v>
      </c>
      <c r="D1076" s="431" t="s">
        <v>257</v>
      </c>
      <c r="E1076" s="432">
        <f>0.3*E1075</f>
        <v>0.3</v>
      </c>
      <c r="F1076" s="464">
        <v>14.85</v>
      </c>
      <c r="G1076" s="434">
        <f t="shared" si="138"/>
        <v>4.46</v>
      </c>
      <c r="H1076" s="64" t="s">
        <v>60</v>
      </c>
    </row>
    <row r="1077" spans="1:9" x14ac:dyDescent="0.25">
      <c r="A1077" s="583"/>
      <c r="B1077" s="429">
        <v>6115</v>
      </c>
      <c r="C1077" s="430" t="s">
        <v>4</v>
      </c>
      <c r="D1077" s="431" t="s">
        <v>268</v>
      </c>
      <c r="E1077" s="796">
        <f>0.3*E1075</f>
        <v>0.3</v>
      </c>
      <c r="F1077" s="464">
        <v>10.49</v>
      </c>
      <c r="G1077" s="741">
        <f t="shared" si="138"/>
        <v>3.15</v>
      </c>
      <c r="H1077" s="277">
        <f>F1075-H1075</f>
        <v>12.05</v>
      </c>
    </row>
    <row r="1078" spans="1:9" x14ac:dyDescent="0.25">
      <c r="A1078" s="583"/>
      <c r="B1078" s="204">
        <v>20083</v>
      </c>
      <c r="C1078" s="205" t="s">
        <v>324</v>
      </c>
      <c r="D1078" s="206" t="s">
        <v>257</v>
      </c>
      <c r="E1078" s="241">
        <f>0.002*E1075</f>
        <v>2E-3</v>
      </c>
      <c r="F1078" s="317">
        <v>35.64</v>
      </c>
      <c r="G1078" s="210">
        <f t="shared" si="138"/>
        <v>7.0000000000000007E-2</v>
      </c>
      <c r="H1078" s="684"/>
    </row>
    <row r="1079" spans="1:9" ht="12" thickBot="1" x14ac:dyDescent="0.25">
      <c r="A1079" s="584"/>
      <c r="B1079" s="278" t="s">
        <v>16</v>
      </c>
      <c r="C1079" s="279" t="s">
        <v>371</v>
      </c>
      <c r="D1079" s="212" t="s">
        <v>268</v>
      </c>
      <c r="E1079" s="322">
        <f>1*E1075</f>
        <v>1</v>
      </c>
      <c r="F1079" s="327">
        <f>9.98*1.2</f>
        <v>11.98</v>
      </c>
      <c r="G1079" s="283">
        <f t="shared" si="138"/>
        <v>11.98</v>
      </c>
      <c r="H1079" s="700" t="s">
        <v>59</v>
      </c>
    </row>
    <row r="1080" spans="1:9" ht="23.25" thickBot="1" x14ac:dyDescent="0.3">
      <c r="A1080" s="582" t="s">
        <v>1120</v>
      </c>
      <c r="B1080" s="590" t="s">
        <v>676</v>
      </c>
      <c r="C1080" s="78" t="s">
        <v>677</v>
      </c>
      <c r="D1080" s="79" t="s">
        <v>268</v>
      </c>
      <c r="E1080" s="87">
        <v>1</v>
      </c>
      <c r="F1080" s="49">
        <f>SUM(G1081:G1084)/E1080</f>
        <v>49.57</v>
      </c>
      <c r="G1080" s="94">
        <f t="shared" si="138"/>
        <v>49.57</v>
      </c>
      <c r="H1080" s="277">
        <f>(G1081+G1082)/E1080</f>
        <v>11.4</v>
      </c>
      <c r="I1080" s="482">
        <f>H1080+H1082</f>
        <v>49.57</v>
      </c>
    </row>
    <row r="1081" spans="1:9" x14ac:dyDescent="0.25">
      <c r="A1081" s="583"/>
      <c r="B1081" s="621">
        <v>2696</v>
      </c>
      <c r="C1081" s="430" t="s">
        <v>260</v>
      </c>
      <c r="D1081" s="431" t="s">
        <v>257</v>
      </c>
      <c r="E1081" s="432">
        <f>0.45*E1080</f>
        <v>0.45</v>
      </c>
      <c r="F1081" s="464">
        <v>14.85</v>
      </c>
      <c r="G1081" s="434">
        <f t="shared" si="138"/>
        <v>6.68</v>
      </c>
      <c r="H1081" s="64" t="s">
        <v>60</v>
      </c>
    </row>
    <row r="1082" spans="1:9" x14ac:dyDescent="0.25">
      <c r="A1082" s="583"/>
      <c r="B1082" s="621">
        <v>6116</v>
      </c>
      <c r="C1082" s="430" t="s">
        <v>322</v>
      </c>
      <c r="D1082" s="431" t="s">
        <v>268</v>
      </c>
      <c r="E1082" s="796">
        <f>0.45*E1080</f>
        <v>0.45</v>
      </c>
      <c r="F1082" s="464">
        <v>10.49</v>
      </c>
      <c r="G1082" s="741">
        <f t="shared" si="138"/>
        <v>4.72</v>
      </c>
      <c r="H1082" s="277">
        <f>F1080-H1080</f>
        <v>38.17</v>
      </c>
    </row>
    <row r="1083" spans="1:9" x14ac:dyDescent="0.25">
      <c r="A1083" s="583"/>
      <c r="B1083" s="291">
        <v>20083</v>
      </c>
      <c r="C1083" s="205" t="s">
        <v>324</v>
      </c>
      <c r="D1083" s="206" t="s">
        <v>257</v>
      </c>
      <c r="E1083" s="241">
        <f>0.0511*E1080</f>
        <v>5.11E-2</v>
      </c>
      <c r="F1083" s="317">
        <v>35.64</v>
      </c>
      <c r="G1083" s="210">
        <f t="shared" si="138"/>
        <v>1.82</v>
      </c>
      <c r="H1083" s="684"/>
    </row>
    <row r="1084" spans="1:9" ht="12" thickBot="1" x14ac:dyDescent="0.25">
      <c r="A1084" s="584"/>
      <c r="B1084" s="608" t="s">
        <v>16</v>
      </c>
      <c r="C1084" s="279" t="s">
        <v>372</v>
      </c>
      <c r="D1084" s="212" t="s">
        <v>268</v>
      </c>
      <c r="E1084" s="322">
        <f>1*E1080</f>
        <v>1</v>
      </c>
      <c r="F1084" s="327">
        <f>30.29*1.2</f>
        <v>36.35</v>
      </c>
      <c r="G1084" s="283">
        <f t="shared" si="138"/>
        <v>36.35</v>
      </c>
      <c r="H1084" s="700" t="s">
        <v>59</v>
      </c>
    </row>
    <row r="1085" spans="1:9" ht="23.25" thickBot="1" x14ac:dyDescent="0.3">
      <c r="A1085" s="582" t="s">
        <v>1121</v>
      </c>
      <c r="B1085" s="305" t="s">
        <v>374</v>
      </c>
      <c r="C1085" s="42" t="s">
        <v>373</v>
      </c>
      <c r="D1085" s="43" t="s">
        <v>268</v>
      </c>
      <c r="E1085" s="75">
        <v>1</v>
      </c>
      <c r="F1085" s="30">
        <f>SUM(G1086:G1089)/E1085</f>
        <v>24.84</v>
      </c>
      <c r="G1085" s="45">
        <f t="shared" si="137"/>
        <v>24.84</v>
      </c>
      <c r="H1085" s="277">
        <f>(G1086+G1087)/E1085</f>
        <v>5.32</v>
      </c>
      <c r="I1085" s="482">
        <f>H1085+H1087</f>
        <v>24.84</v>
      </c>
    </row>
    <row r="1086" spans="1:9" x14ac:dyDescent="0.25">
      <c r="A1086" s="583"/>
      <c r="B1086" s="429">
        <v>2696</v>
      </c>
      <c r="C1086" s="430" t="s">
        <v>260</v>
      </c>
      <c r="D1086" s="431" t="s">
        <v>257</v>
      </c>
      <c r="E1086" s="432">
        <f>0.21*E1085</f>
        <v>0.21</v>
      </c>
      <c r="F1086" s="464">
        <v>14.85</v>
      </c>
      <c r="G1086" s="434">
        <f t="shared" si="137"/>
        <v>3.12</v>
      </c>
      <c r="H1086" s="64" t="s">
        <v>60</v>
      </c>
    </row>
    <row r="1087" spans="1:9" x14ac:dyDescent="0.25">
      <c r="A1087" s="583"/>
      <c r="B1087" s="429">
        <v>6116</v>
      </c>
      <c r="C1087" s="430" t="s">
        <v>322</v>
      </c>
      <c r="D1087" s="431" t="s">
        <v>268</v>
      </c>
      <c r="E1087" s="796">
        <f>0.21*E1085</f>
        <v>0.21</v>
      </c>
      <c r="F1087" s="464">
        <v>10.49</v>
      </c>
      <c r="G1087" s="741">
        <f t="shared" si="137"/>
        <v>2.2000000000000002</v>
      </c>
      <c r="H1087" s="277">
        <f>F1085-H1085</f>
        <v>19.52</v>
      </c>
    </row>
    <row r="1088" spans="1:9" x14ac:dyDescent="0.25">
      <c r="A1088" s="583"/>
      <c r="B1088" s="204">
        <v>20083</v>
      </c>
      <c r="C1088" s="205" t="s">
        <v>324</v>
      </c>
      <c r="D1088" s="206" t="s">
        <v>257</v>
      </c>
      <c r="E1088" s="241">
        <f>0.009*E1085</f>
        <v>8.9999999999999993E-3</v>
      </c>
      <c r="F1088" s="317">
        <v>35.64</v>
      </c>
      <c r="G1088" s="210">
        <f t="shared" si="137"/>
        <v>0.32</v>
      </c>
      <c r="H1088" s="684"/>
    </row>
    <row r="1089" spans="1:9" ht="12" thickBot="1" x14ac:dyDescent="0.25">
      <c r="A1089" s="584"/>
      <c r="B1089" s="278" t="s">
        <v>16</v>
      </c>
      <c r="C1089" s="279" t="s">
        <v>375</v>
      </c>
      <c r="D1089" s="212" t="s">
        <v>268</v>
      </c>
      <c r="E1089" s="322">
        <f>1*E1085</f>
        <v>1</v>
      </c>
      <c r="F1089" s="327">
        <f>16*1.2</f>
        <v>19.2</v>
      </c>
      <c r="G1089" s="283">
        <f t="shared" si="137"/>
        <v>19.2</v>
      </c>
      <c r="H1089" s="700" t="s">
        <v>59</v>
      </c>
    </row>
    <row r="1090" spans="1:9" ht="23.25" thickBot="1" x14ac:dyDescent="0.3">
      <c r="A1090" s="582" t="s">
        <v>1122</v>
      </c>
      <c r="B1090" s="613" t="s">
        <v>388</v>
      </c>
      <c r="C1090" s="112" t="s">
        <v>678</v>
      </c>
      <c r="D1090" s="79" t="s">
        <v>268</v>
      </c>
      <c r="E1090" s="87">
        <v>1</v>
      </c>
      <c r="F1090" s="49">
        <f>SUM(G1091:G1094)/E1090</f>
        <v>29.57</v>
      </c>
      <c r="G1090" s="94">
        <f t="shared" ref="G1090:G1124" si="139">F1090*E1090</f>
        <v>29.57</v>
      </c>
      <c r="H1090" s="277">
        <f>(G1091+G1092)/E1090</f>
        <v>10.14</v>
      </c>
      <c r="I1090" s="482">
        <f>H1090+H1092</f>
        <v>29.57</v>
      </c>
    </row>
    <row r="1091" spans="1:9" x14ac:dyDescent="0.25">
      <c r="A1091" s="583"/>
      <c r="B1091" s="621">
        <v>2696</v>
      </c>
      <c r="C1091" s="430" t="s">
        <v>260</v>
      </c>
      <c r="D1091" s="431" t="s">
        <v>257</v>
      </c>
      <c r="E1091" s="432">
        <f>0.4*E1090</f>
        <v>0.4</v>
      </c>
      <c r="F1091" s="464">
        <v>14.85</v>
      </c>
      <c r="G1091" s="434">
        <f t="shared" si="139"/>
        <v>5.94</v>
      </c>
      <c r="H1091" s="64" t="s">
        <v>60</v>
      </c>
    </row>
    <row r="1092" spans="1:9" x14ac:dyDescent="0.25">
      <c r="A1092" s="583"/>
      <c r="B1092" s="621">
        <v>6116</v>
      </c>
      <c r="C1092" s="430" t="s">
        <v>322</v>
      </c>
      <c r="D1092" s="431" t="s">
        <v>268</v>
      </c>
      <c r="E1092" s="796">
        <f>0.4*E1090</f>
        <v>0.4</v>
      </c>
      <c r="F1092" s="464">
        <v>10.49</v>
      </c>
      <c r="G1092" s="741">
        <f t="shared" si="139"/>
        <v>4.2</v>
      </c>
      <c r="H1092" s="277">
        <f>F1090-H1090</f>
        <v>19.43</v>
      </c>
    </row>
    <row r="1093" spans="1:9" x14ac:dyDescent="0.25">
      <c r="A1093" s="583"/>
      <c r="B1093" s="291">
        <v>20083</v>
      </c>
      <c r="C1093" s="205" t="s">
        <v>324</v>
      </c>
      <c r="D1093" s="206" t="s">
        <v>257</v>
      </c>
      <c r="E1093" s="241">
        <f>0.005*E1090</f>
        <v>5.0000000000000001E-3</v>
      </c>
      <c r="F1093" s="317">
        <v>35.64</v>
      </c>
      <c r="G1093" s="210">
        <f t="shared" si="139"/>
        <v>0.18</v>
      </c>
      <c r="H1093" s="684"/>
    </row>
    <row r="1094" spans="1:9" ht="12" thickBot="1" x14ac:dyDescent="0.25">
      <c r="A1094" s="584"/>
      <c r="B1094" s="608" t="s">
        <v>16</v>
      </c>
      <c r="C1094" s="279" t="s">
        <v>376</v>
      </c>
      <c r="D1094" s="212" t="s">
        <v>268</v>
      </c>
      <c r="E1094" s="322">
        <f>1*E1090</f>
        <v>1</v>
      </c>
      <c r="F1094" s="327">
        <f>16.04*1.2</f>
        <v>19.25</v>
      </c>
      <c r="G1094" s="283">
        <f t="shared" si="139"/>
        <v>19.25</v>
      </c>
      <c r="H1094" s="701" t="s">
        <v>59</v>
      </c>
    </row>
    <row r="1095" spans="1:9" ht="23.25" thickBot="1" x14ac:dyDescent="0.3">
      <c r="A1095" s="582" t="s">
        <v>1123</v>
      </c>
      <c r="B1095" s="307" t="s">
        <v>389</v>
      </c>
      <c r="C1095" s="27" t="s">
        <v>387</v>
      </c>
      <c r="D1095" s="43" t="s">
        <v>268</v>
      </c>
      <c r="E1095" s="75">
        <v>1</v>
      </c>
      <c r="F1095" s="30">
        <f>SUM(G1096:G1099)/E1095</f>
        <v>20.239999999999998</v>
      </c>
      <c r="G1095" s="45">
        <f t="shared" si="139"/>
        <v>20.239999999999998</v>
      </c>
      <c r="H1095" s="277">
        <f>(G1096+G1097)/E1095</f>
        <v>7.61</v>
      </c>
      <c r="I1095" s="482">
        <f>H1095+H1097</f>
        <v>20.239999999999998</v>
      </c>
    </row>
    <row r="1096" spans="1:9" x14ac:dyDescent="0.25">
      <c r="A1096" s="583"/>
      <c r="B1096" s="429">
        <v>2696</v>
      </c>
      <c r="C1096" s="430" t="s">
        <v>260</v>
      </c>
      <c r="D1096" s="431" t="s">
        <v>257</v>
      </c>
      <c r="E1096" s="432">
        <f>0.3*E1095</f>
        <v>0.3</v>
      </c>
      <c r="F1096" s="464">
        <v>14.85</v>
      </c>
      <c r="G1096" s="434">
        <f t="shared" si="139"/>
        <v>4.46</v>
      </c>
      <c r="H1096" s="64" t="s">
        <v>60</v>
      </c>
    </row>
    <row r="1097" spans="1:9" x14ac:dyDescent="0.25">
      <c r="A1097" s="583"/>
      <c r="B1097" s="429">
        <v>6116</v>
      </c>
      <c r="C1097" s="430" t="s">
        <v>322</v>
      </c>
      <c r="D1097" s="431" t="s">
        <v>268</v>
      </c>
      <c r="E1097" s="796">
        <f>0.3*E1095</f>
        <v>0.3</v>
      </c>
      <c r="F1097" s="464">
        <v>10.49</v>
      </c>
      <c r="G1097" s="741">
        <f t="shared" si="139"/>
        <v>3.15</v>
      </c>
      <c r="H1097" s="277">
        <f>F1095-H1095</f>
        <v>12.63</v>
      </c>
    </row>
    <row r="1098" spans="1:9" x14ac:dyDescent="0.25">
      <c r="A1098" s="583"/>
      <c r="B1098" s="204">
        <v>20083</v>
      </c>
      <c r="C1098" s="205" t="s">
        <v>324</v>
      </c>
      <c r="D1098" s="206" t="s">
        <v>257</v>
      </c>
      <c r="E1098" s="241">
        <f>0.003*E1095</f>
        <v>3.0000000000000001E-3</v>
      </c>
      <c r="F1098" s="317">
        <v>35.64</v>
      </c>
      <c r="G1098" s="210">
        <f t="shared" si="139"/>
        <v>0.11</v>
      </c>
      <c r="H1098" s="684"/>
    </row>
    <row r="1099" spans="1:9" ht="12" thickBot="1" x14ac:dyDescent="0.25">
      <c r="A1099" s="584"/>
      <c r="B1099" s="278" t="s">
        <v>16</v>
      </c>
      <c r="C1099" s="279" t="s">
        <v>377</v>
      </c>
      <c r="D1099" s="212" t="s">
        <v>268</v>
      </c>
      <c r="E1099" s="322">
        <f>1*E1095</f>
        <v>1</v>
      </c>
      <c r="F1099" s="327">
        <f>10.43*1.2</f>
        <v>12.52</v>
      </c>
      <c r="G1099" s="283">
        <f t="shared" si="139"/>
        <v>12.52</v>
      </c>
      <c r="H1099" s="701" t="s">
        <v>59</v>
      </c>
    </row>
    <row r="1100" spans="1:9" ht="23.25" thickBot="1" x14ac:dyDescent="0.3">
      <c r="A1100" s="582" t="s">
        <v>1124</v>
      </c>
      <c r="B1100" s="305" t="s">
        <v>87</v>
      </c>
      <c r="C1100" s="42" t="s">
        <v>679</v>
      </c>
      <c r="D1100" s="43" t="s">
        <v>232</v>
      </c>
      <c r="E1100" s="75">
        <v>1</v>
      </c>
      <c r="F1100" s="30">
        <f>SUM(G1101:G1104)/E1100</f>
        <v>28.4</v>
      </c>
      <c r="G1100" s="45">
        <f t="shared" ref="G1100:G1104" si="140">F1100*E1100</f>
        <v>28.4</v>
      </c>
      <c r="H1100" s="277">
        <f>(G1101+G1102)/E1100</f>
        <v>19.010000000000002</v>
      </c>
      <c r="I1100" s="482">
        <f>H1100+H1102</f>
        <v>28.4</v>
      </c>
    </row>
    <row r="1101" spans="1:9" x14ac:dyDescent="0.25">
      <c r="A1101" s="583"/>
      <c r="B1101" s="429">
        <v>2696</v>
      </c>
      <c r="C1101" s="430" t="s">
        <v>260</v>
      </c>
      <c r="D1101" s="431" t="s">
        <v>257</v>
      </c>
      <c r="E1101" s="498">
        <f>0.75*E1100</f>
        <v>0.75</v>
      </c>
      <c r="F1101" s="464">
        <v>14.85</v>
      </c>
      <c r="G1101" s="434">
        <f t="shared" si="140"/>
        <v>11.14</v>
      </c>
      <c r="H1101" s="64" t="s">
        <v>60</v>
      </c>
    </row>
    <row r="1102" spans="1:9" x14ac:dyDescent="0.25">
      <c r="A1102" s="583"/>
      <c r="B1102" s="429">
        <v>616</v>
      </c>
      <c r="C1102" s="430" t="s">
        <v>322</v>
      </c>
      <c r="D1102" s="431" t="s">
        <v>257</v>
      </c>
      <c r="E1102" s="498">
        <f>0.75*E1100</f>
        <v>0.75</v>
      </c>
      <c r="F1102" s="464">
        <v>10.49</v>
      </c>
      <c r="G1102" s="434">
        <f t="shared" si="140"/>
        <v>7.87</v>
      </c>
      <c r="H1102" s="277">
        <f>F1100-H1100</f>
        <v>9.39</v>
      </c>
    </row>
    <row r="1103" spans="1:9" x14ac:dyDescent="0.25">
      <c r="A1103" s="583"/>
      <c r="B1103" s="204">
        <v>20083</v>
      </c>
      <c r="C1103" s="205" t="s">
        <v>324</v>
      </c>
      <c r="D1103" s="206" t="s">
        <v>257</v>
      </c>
      <c r="E1103" s="241">
        <f>0.0087*E1100</f>
        <v>8.6999999999999994E-3</v>
      </c>
      <c r="F1103" s="317">
        <v>35.64</v>
      </c>
      <c r="G1103" s="210">
        <f t="shared" si="140"/>
        <v>0.31</v>
      </c>
      <c r="H1103" s="678"/>
    </row>
    <row r="1104" spans="1:9" ht="12" thickBot="1" x14ac:dyDescent="0.25">
      <c r="A1104" s="584"/>
      <c r="B1104" s="211" t="s">
        <v>16</v>
      </c>
      <c r="C1104" s="284" t="s">
        <v>680</v>
      </c>
      <c r="D1104" s="212" t="s">
        <v>232</v>
      </c>
      <c r="E1104" s="239">
        <f>1*E1100</f>
        <v>1</v>
      </c>
      <c r="F1104" s="355">
        <f>30.28/4*1.2</f>
        <v>9.08</v>
      </c>
      <c r="G1104" s="215">
        <f t="shared" si="140"/>
        <v>9.08</v>
      </c>
      <c r="H1104" s="701" t="s">
        <v>59</v>
      </c>
    </row>
    <row r="1105" spans="1:9" ht="23.25" thickBot="1" x14ac:dyDescent="0.3">
      <c r="A1105" s="582" t="s">
        <v>1125</v>
      </c>
      <c r="B1105" s="305" t="s">
        <v>87</v>
      </c>
      <c r="C1105" s="42" t="s">
        <v>681</v>
      </c>
      <c r="D1105" s="43" t="s">
        <v>232</v>
      </c>
      <c r="E1105" s="75">
        <v>1</v>
      </c>
      <c r="F1105" s="30">
        <f>SUM(G1106:G1109)/E1105</f>
        <v>33.090000000000003</v>
      </c>
      <c r="G1105" s="45">
        <f t="shared" ref="G1105:G1109" si="141">F1105*E1105</f>
        <v>33.090000000000003</v>
      </c>
      <c r="H1105" s="277">
        <f>(G1106+G1107)/E1105</f>
        <v>21.54</v>
      </c>
      <c r="I1105" s="482">
        <f>H1105+H1107</f>
        <v>33.090000000000003</v>
      </c>
    </row>
    <row r="1106" spans="1:9" x14ac:dyDescent="0.25">
      <c r="A1106" s="583"/>
      <c r="B1106" s="429">
        <v>2696</v>
      </c>
      <c r="C1106" s="430" t="s">
        <v>260</v>
      </c>
      <c r="D1106" s="431" t="s">
        <v>257</v>
      </c>
      <c r="E1106" s="498">
        <f>0.85*E1105</f>
        <v>0.85</v>
      </c>
      <c r="F1106" s="464">
        <v>14.85</v>
      </c>
      <c r="G1106" s="434">
        <f t="shared" si="141"/>
        <v>12.62</v>
      </c>
      <c r="H1106" s="64" t="s">
        <v>60</v>
      </c>
    </row>
    <row r="1107" spans="1:9" x14ac:dyDescent="0.25">
      <c r="A1107" s="583"/>
      <c r="B1107" s="429">
        <v>616</v>
      </c>
      <c r="C1107" s="430" t="s">
        <v>322</v>
      </c>
      <c r="D1107" s="431" t="s">
        <v>257</v>
      </c>
      <c r="E1107" s="498">
        <f>0.85*E1105</f>
        <v>0.85</v>
      </c>
      <c r="F1107" s="464">
        <v>10.49</v>
      </c>
      <c r="G1107" s="434">
        <f t="shared" si="141"/>
        <v>8.92</v>
      </c>
      <c r="H1107" s="277">
        <f>F1105-H1105</f>
        <v>11.55</v>
      </c>
    </row>
    <row r="1108" spans="1:9" x14ac:dyDescent="0.25">
      <c r="A1108" s="583"/>
      <c r="B1108" s="204">
        <v>20083</v>
      </c>
      <c r="C1108" s="205" t="s">
        <v>324</v>
      </c>
      <c r="D1108" s="206" t="s">
        <v>257</v>
      </c>
      <c r="E1108" s="241">
        <f>0.0087*E1105</f>
        <v>8.6999999999999994E-3</v>
      </c>
      <c r="F1108" s="317">
        <v>35.64</v>
      </c>
      <c r="G1108" s="210">
        <f t="shared" si="141"/>
        <v>0.31</v>
      </c>
      <c r="H1108" s="678"/>
    </row>
    <row r="1109" spans="1:9" ht="12" thickBot="1" x14ac:dyDescent="0.25">
      <c r="A1109" s="584"/>
      <c r="B1109" s="211" t="s">
        <v>16</v>
      </c>
      <c r="C1109" s="284" t="s">
        <v>682</v>
      </c>
      <c r="D1109" s="212" t="s">
        <v>232</v>
      </c>
      <c r="E1109" s="239">
        <f>1*E1105</f>
        <v>1</v>
      </c>
      <c r="F1109" s="355">
        <f>37.47/4*1.2</f>
        <v>11.24</v>
      </c>
      <c r="G1109" s="215">
        <f t="shared" si="141"/>
        <v>11.24</v>
      </c>
      <c r="H1109" s="701" t="s">
        <v>59</v>
      </c>
    </row>
    <row r="1110" spans="1:9" ht="23.25" thickBot="1" x14ac:dyDescent="0.3">
      <c r="A1110" s="582" t="s">
        <v>1126</v>
      </c>
      <c r="B1110" s="305" t="s">
        <v>87</v>
      </c>
      <c r="C1110" s="42" t="s">
        <v>381</v>
      </c>
      <c r="D1110" s="43" t="s">
        <v>232</v>
      </c>
      <c r="E1110" s="75">
        <v>1</v>
      </c>
      <c r="F1110" s="30">
        <f>SUM(G1111:G1114)/E1110</f>
        <v>45.46</v>
      </c>
      <c r="G1110" s="45">
        <f t="shared" si="139"/>
        <v>45.46</v>
      </c>
      <c r="H1110" s="277">
        <f>(G1111+G1112)/E1110</f>
        <v>26.6</v>
      </c>
      <c r="I1110" s="482">
        <f>H1110+H1112</f>
        <v>45.46</v>
      </c>
    </row>
    <row r="1111" spans="1:9" x14ac:dyDescent="0.25">
      <c r="A1111" s="583"/>
      <c r="B1111" s="429">
        <v>2696</v>
      </c>
      <c r="C1111" s="430" t="s">
        <v>260</v>
      </c>
      <c r="D1111" s="431" t="s">
        <v>257</v>
      </c>
      <c r="E1111" s="498">
        <f>1.05*E1110</f>
        <v>1.05</v>
      </c>
      <c r="F1111" s="464">
        <v>14.85</v>
      </c>
      <c r="G1111" s="434">
        <f t="shared" si="139"/>
        <v>15.59</v>
      </c>
      <c r="H1111" s="64" t="s">
        <v>60</v>
      </c>
    </row>
    <row r="1112" spans="1:9" x14ac:dyDescent="0.25">
      <c r="A1112" s="583"/>
      <c r="B1112" s="429">
        <v>616</v>
      </c>
      <c r="C1112" s="430" t="s">
        <v>322</v>
      </c>
      <c r="D1112" s="431" t="s">
        <v>257</v>
      </c>
      <c r="E1112" s="498">
        <f>1.05*E1110</f>
        <v>1.05</v>
      </c>
      <c r="F1112" s="464">
        <v>10.49</v>
      </c>
      <c r="G1112" s="434">
        <f t="shared" si="139"/>
        <v>11.01</v>
      </c>
      <c r="H1112" s="277">
        <f>F1110-H1110</f>
        <v>18.86</v>
      </c>
    </row>
    <row r="1113" spans="1:9" x14ac:dyDescent="0.25">
      <c r="A1113" s="583"/>
      <c r="B1113" s="204">
        <v>20083</v>
      </c>
      <c r="C1113" s="205" t="s">
        <v>324</v>
      </c>
      <c r="D1113" s="206" t="s">
        <v>257</v>
      </c>
      <c r="E1113" s="241">
        <f>0.0087*E1110</f>
        <v>8.6999999999999994E-3</v>
      </c>
      <c r="F1113" s="317">
        <v>35.64</v>
      </c>
      <c r="G1113" s="210">
        <f t="shared" si="139"/>
        <v>0.31</v>
      </c>
      <c r="H1113" s="678"/>
    </row>
    <row r="1114" spans="1:9" ht="12" thickBot="1" x14ac:dyDescent="0.25">
      <c r="A1114" s="584"/>
      <c r="B1114" s="211" t="s">
        <v>16</v>
      </c>
      <c r="C1114" s="284" t="s">
        <v>382</v>
      </c>
      <c r="D1114" s="212" t="s">
        <v>232</v>
      </c>
      <c r="E1114" s="239">
        <f>1*E1110</f>
        <v>1</v>
      </c>
      <c r="F1114" s="355">
        <f>61.83/4*1.2</f>
        <v>18.55</v>
      </c>
      <c r="G1114" s="215">
        <f t="shared" si="139"/>
        <v>18.55</v>
      </c>
      <c r="H1114" s="701" t="s">
        <v>59</v>
      </c>
    </row>
    <row r="1115" spans="1:9" ht="23.25" thickBot="1" x14ac:dyDescent="0.3">
      <c r="A1115" s="582" t="s">
        <v>1127</v>
      </c>
      <c r="B1115" s="305" t="s">
        <v>88</v>
      </c>
      <c r="C1115" s="42" t="s">
        <v>383</v>
      </c>
      <c r="D1115" s="43" t="s">
        <v>232</v>
      </c>
      <c r="E1115" s="75">
        <v>1</v>
      </c>
      <c r="F1115" s="30">
        <f>SUM(G1116:G1119)/E1115</f>
        <v>59.97</v>
      </c>
      <c r="G1115" s="45">
        <f t="shared" si="139"/>
        <v>59.97</v>
      </c>
      <c r="H1115" s="277">
        <f>(G1116+G1117)/E1115</f>
        <v>27.62</v>
      </c>
      <c r="I1115" s="482">
        <f>H1115+H1117</f>
        <v>59.97</v>
      </c>
    </row>
    <row r="1116" spans="1:9" x14ac:dyDescent="0.25">
      <c r="A1116" s="583"/>
      <c r="B1116" s="429">
        <v>2696</v>
      </c>
      <c r="C1116" s="430" t="s">
        <v>260</v>
      </c>
      <c r="D1116" s="431" t="s">
        <v>257</v>
      </c>
      <c r="E1116" s="498">
        <f>1.09*E1115</f>
        <v>1.0900000000000001</v>
      </c>
      <c r="F1116" s="464">
        <v>14.85</v>
      </c>
      <c r="G1116" s="434">
        <f t="shared" si="139"/>
        <v>16.190000000000001</v>
      </c>
      <c r="H1116" s="64" t="s">
        <v>60</v>
      </c>
    </row>
    <row r="1117" spans="1:9" x14ac:dyDescent="0.25">
      <c r="A1117" s="583"/>
      <c r="B1117" s="429">
        <v>616</v>
      </c>
      <c r="C1117" s="430" t="s">
        <v>322</v>
      </c>
      <c r="D1117" s="431" t="s">
        <v>257</v>
      </c>
      <c r="E1117" s="498">
        <f>1.09*E1115</f>
        <v>1.0900000000000001</v>
      </c>
      <c r="F1117" s="464">
        <v>10.49</v>
      </c>
      <c r="G1117" s="434">
        <f t="shared" si="139"/>
        <v>11.43</v>
      </c>
      <c r="H1117" s="277">
        <f>F1115-H1115</f>
        <v>32.35</v>
      </c>
    </row>
    <row r="1118" spans="1:9" x14ac:dyDescent="0.25">
      <c r="A1118" s="583"/>
      <c r="B1118" s="204">
        <v>20083</v>
      </c>
      <c r="C1118" s="205" t="s">
        <v>324</v>
      </c>
      <c r="D1118" s="206" t="s">
        <v>257</v>
      </c>
      <c r="E1118" s="241">
        <f>0.013*E1115</f>
        <v>1.2999999999999999E-2</v>
      </c>
      <c r="F1118" s="317">
        <v>35.64</v>
      </c>
      <c r="G1118" s="210">
        <f t="shared" si="139"/>
        <v>0.46</v>
      </c>
      <c r="H1118" s="678"/>
    </row>
    <row r="1119" spans="1:9" ht="12.75" customHeight="1" thickBot="1" x14ac:dyDescent="0.25">
      <c r="A1119" s="584"/>
      <c r="B1119" s="211" t="s">
        <v>16</v>
      </c>
      <c r="C1119" s="284" t="s">
        <v>384</v>
      </c>
      <c r="D1119" s="212" t="s">
        <v>232</v>
      </c>
      <c r="E1119" s="213">
        <f>1*E1115</f>
        <v>1</v>
      </c>
      <c r="F1119" s="355">
        <f>106.31/4*1.2</f>
        <v>31.89</v>
      </c>
      <c r="G1119" s="215">
        <f t="shared" si="139"/>
        <v>31.89</v>
      </c>
      <c r="H1119" s="701" t="s">
        <v>59</v>
      </c>
    </row>
    <row r="1120" spans="1:9" ht="25.5" customHeight="1" thickBot="1" x14ac:dyDescent="0.3">
      <c r="A1120" s="582" t="s">
        <v>1128</v>
      </c>
      <c r="B1120" s="305" t="s">
        <v>683</v>
      </c>
      <c r="C1120" s="42" t="s">
        <v>684</v>
      </c>
      <c r="D1120" s="43" t="s">
        <v>268</v>
      </c>
      <c r="E1120" s="75">
        <v>1</v>
      </c>
      <c r="F1120" s="30">
        <f>SUM(G1121:G1124)/E1120</f>
        <v>45.5</v>
      </c>
      <c r="G1120" s="45">
        <f t="shared" si="139"/>
        <v>45.5</v>
      </c>
      <c r="H1120" s="277">
        <f>(G1121+G1122)/E1120</f>
        <v>12.68</v>
      </c>
      <c r="I1120" s="482">
        <f>H1120+H1122</f>
        <v>45.5</v>
      </c>
    </row>
    <row r="1121" spans="1:9" ht="12.75" customHeight="1" x14ac:dyDescent="0.25">
      <c r="A1121" s="583"/>
      <c r="B1121" s="429">
        <v>2696</v>
      </c>
      <c r="C1121" s="430" t="s">
        <v>260</v>
      </c>
      <c r="D1121" s="431" t="s">
        <v>257</v>
      </c>
      <c r="E1121" s="432">
        <f>0.5*E1120</f>
        <v>0.5</v>
      </c>
      <c r="F1121" s="464">
        <v>14.85</v>
      </c>
      <c r="G1121" s="434">
        <f t="shared" si="139"/>
        <v>7.43</v>
      </c>
      <c r="H1121" s="64" t="s">
        <v>60</v>
      </c>
    </row>
    <row r="1122" spans="1:9" ht="12.75" customHeight="1" x14ac:dyDescent="0.25">
      <c r="A1122" s="583"/>
      <c r="B1122" s="429">
        <v>616</v>
      </c>
      <c r="C1122" s="430" t="s">
        <v>322</v>
      </c>
      <c r="D1122" s="431" t="s">
        <v>268</v>
      </c>
      <c r="E1122" s="796">
        <f>0.5*E1120</f>
        <v>0.5</v>
      </c>
      <c r="F1122" s="464">
        <v>10.49</v>
      </c>
      <c r="G1122" s="741">
        <f t="shared" si="139"/>
        <v>5.25</v>
      </c>
      <c r="H1122" s="277">
        <f>F1120-H1120</f>
        <v>32.82</v>
      </c>
    </row>
    <row r="1123" spans="1:9" ht="12.75" customHeight="1" x14ac:dyDescent="0.25">
      <c r="A1123" s="583"/>
      <c r="B1123" s="204">
        <v>20083</v>
      </c>
      <c r="C1123" s="205" t="s">
        <v>324</v>
      </c>
      <c r="D1123" s="206" t="s">
        <v>257</v>
      </c>
      <c r="E1123" s="241">
        <f>0.003*E1120</f>
        <v>3.0000000000000001E-3</v>
      </c>
      <c r="F1123" s="317">
        <v>35.64</v>
      </c>
      <c r="G1123" s="210">
        <f t="shared" si="139"/>
        <v>0.11</v>
      </c>
      <c r="H1123" s="678"/>
    </row>
    <row r="1124" spans="1:9" ht="12.75" customHeight="1" thickBot="1" x14ac:dyDescent="0.3">
      <c r="A1124" s="584"/>
      <c r="B1124" s="211" t="s">
        <v>16</v>
      </c>
      <c r="C1124" s="216" t="s">
        <v>685</v>
      </c>
      <c r="D1124" s="212" t="s">
        <v>268</v>
      </c>
      <c r="E1124" s="213">
        <f>1*E1120</f>
        <v>1</v>
      </c>
      <c r="F1124" s="355">
        <f>27.26*1.2</f>
        <v>32.71</v>
      </c>
      <c r="G1124" s="215">
        <f t="shared" si="139"/>
        <v>32.71</v>
      </c>
      <c r="H1124" s="678"/>
    </row>
    <row r="1125" spans="1:9" ht="23.25" thickBot="1" x14ac:dyDescent="0.3">
      <c r="A1125" s="582" t="s">
        <v>1129</v>
      </c>
      <c r="B1125" s="305" t="s">
        <v>379</v>
      </c>
      <c r="C1125" s="42" t="s">
        <v>378</v>
      </c>
      <c r="D1125" s="43" t="s">
        <v>268</v>
      </c>
      <c r="E1125" s="75">
        <v>1</v>
      </c>
      <c r="F1125" s="30">
        <f>SUM(G1126:G1129)/E1125</f>
        <v>20.74</v>
      </c>
      <c r="G1125" s="45">
        <f t="shared" ref="G1125:G1144" si="142">F1125*E1125</f>
        <v>20.74</v>
      </c>
      <c r="H1125" s="277">
        <f>(G1126+G1127)/E1125</f>
        <v>10.65</v>
      </c>
      <c r="I1125" s="482">
        <f>H1125+H1127</f>
        <v>20.74</v>
      </c>
    </row>
    <row r="1126" spans="1:9" x14ac:dyDescent="0.25">
      <c r="A1126" s="583"/>
      <c r="B1126" s="429">
        <v>2696</v>
      </c>
      <c r="C1126" s="430" t="s">
        <v>260</v>
      </c>
      <c r="D1126" s="431" t="s">
        <v>257</v>
      </c>
      <c r="E1126" s="432">
        <f>0.42*E1125</f>
        <v>0.42</v>
      </c>
      <c r="F1126" s="464">
        <v>14.85</v>
      </c>
      <c r="G1126" s="434">
        <f t="shared" si="142"/>
        <v>6.24</v>
      </c>
      <c r="H1126" s="64" t="s">
        <v>60</v>
      </c>
    </row>
    <row r="1127" spans="1:9" x14ac:dyDescent="0.25">
      <c r="A1127" s="583"/>
      <c r="B1127" s="429">
        <v>616</v>
      </c>
      <c r="C1127" s="430" t="s">
        <v>322</v>
      </c>
      <c r="D1127" s="431" t="s">
        <v>268</v>
      </c>
      <c r="E1127" s="796">
        <f>0.42*E1125</f>
        <v>0.42</v>
      </c>
      <c r="F1127" s="464">
        <v>10.49</v>
      </c>
      <c r="G1127" s="741">
        <f t="shared" si="142"/>
        <v>4.41</v>
      </c>
      <c r="H1127" s="277">
        <f>F1125-H1125</f>
        <v>10.09</v>
      </c>
    </row>
    <row r="1128" spans="1:9" x14ac:dyDescent="0.25">
      <c r="A1128" s="583"/>
      <c r="B1128" s="204">
        <v>20083</v>
      </c>
      <c r="C1128" s="205" t="s">
        <v>324</v>
      </c>
      <c r="D1128" s="206" t="s">
        <v>257</v>
      </c>
      <c r="E1128" s="241">
        <f>0.003*E1125</f>
        <v>3.0000000000000001E-3</v>
      </c>
      <c r="F1128" s="317">
        <v>35.64</v>
      </c>
      <c r="G1128" s="210">
        <f t="shared" si="142"/>
        <v>0.11</v>
      </c>
      <c r="H1128" s="678"/>
    </row>
    <row r="1129" spans="1:9" ht="12" thickBot="1" x14ac:dyDescent="0.3">
      <c r="A1129" s="584"/>
      <c r="B1129" s="211" t="s">
        <v>16</v>
      </c>
      <c r="C1129" s="216" t="s">
        <v>380</v>
      </c>
      <c r="D1129" s="212" t="s">
        <v>268</v>
      </c>
      <c r="E1129" s="213">
        <f>1*E1125</f>
        <v>1</v>
      </c>
      <c r="F1129" s="355">
        <f>8.32*1.2</f>
        <v>9.98</v>
      </c>
      <c r="G1129" s="215">
        <f t="shared" si="142"/>
        <v>9.98</v>
      </c>
      <c r="H1129" s="678"/>
      <c r="I1129" s="152"/>
    </row>
    <row r="1130" spans="1:9" ht="23.25" thickBot="1" x14ac:dyDescent="0.3">
      <c r="A1130" s="582" t="s">
        <v>1130</v>
      </c>
      <c r="B1130" s="305" t="s">
        <v>812</v>
      </c>
      <c r="C1130" s="42" t="s">
        <v>686</v>
      </c>
      <c r="D1130" s="43" t="s">
        <v>268</v>
      </c>
      <c r="E1130" s="75">
        <v>1</v>
      </c>
      <c r="F1130" s="30">
        <f>SUM(G1131:G1134)/E1130</f>
        <v>13.4</v>
      </c>
      <c r="G1130" s="45">
        <f t="shared" si="142"/>
        <v>13.4</v>
      </c>
      <c r="H1130" s="277">
        <f>(G1131+G1132)/E1130</f>
        <v>5.32</v>
      </c>
      <c r="I1130" s="482">
        <f>H1130+H1132</f>
        <v>13.4</v>
      </c>
    </row>
    <row r="1131" spans="1:9" x14ac:dyDescent="0.25">
      <c r="A1131" s="583"/>
      <c r="B1131" s="32">
        <v>2696</v>
      </c>
      <c r="C1131" s="13" t="s">
        <v>260</v>
      </c>
      <c r="D1131" s="14" t="s">
        <v>257</v>
      </c>
      <c r="E1131" s="22">
        <f>0.21*E1130</f>
        <v>0.21</v>
      </c>
      <c r="F1131" s="18">
        <v>14.85</v>
      </c>
      <c r="G1131" s="33">
        <f t="shared" si="142"/>
        <v>3.12</v>
      </c>
      <c r="H1131" s="64" t="s">
        <v>60</v>
      </c>
      <c r="I1131" s="152"/>
    </row>
    <row r="1132" spans="1:9" x14ac:dyDescent="0.25">
      <c r="A1132" s="583"/>
      <c r="B1132" s="32">
        <v>6116</v>
      </c>
      <c r="C1132" s="13" t="s">
        <v>322</v>
      </c>
      <c r="D1132" s="14" t="s">
        <v>257</v>
      </c>
      <c r="E1132" s="25">
        <f>0.21*E1130</f>
        <v>0.21</v>
      </c>
      <c r="F1132" s="18">
        <v>10.49</v>
      </c>
      <c r="G1132" s="70">
        <f t="shared" si="142"/>
        <v>2.2000000000000002</v>
      </c>
      <c r="H1132" s="277">
        <f>F1130-H1130</f>
        <v>8.08</v>
      </c>
      <c r="I1132" s="152"/>
    </row>
    <row r="1133" spans="1:9" x14ac:dyDescent="0.25">
      <c r="A1133" s="583"/>
      <c r="B1133" s="204">
        <v>20083</v>
      </c>
      <c r="C1133" s="205" t="s">
        <v>324</v>
      </c>
      <c r="D1133" s="206" t="s">
        <v>257</v>
      </c>
      <c r="E1133" s="241">
        <f>0.009*E1130</f>
        <v>8.9999999999999993E-3</v>
      </c>
      <c r="F1133" s="317">
        <v>35.64</v>
      </c>
      <c r="G1133" s="210">
        <f t="shared" si="142"/>
        <v>0.32</v>
      </c>
      <c r="H1133" s="684"/>
      <c r="I1133" s="152"/>
    </row>
    <row r="1134" spans="1:9" ht="12" thickBot="1" x14ac:dyDescent="0.25">
      <c r="A1134" s="584"/>
      <c r="B1134" s="278" t="s">
        <v>16</v>
      </c>
      <c r="C1134" s="279" t="s">
        <v>375</v>
      </c>
      <c r="D1134" s="212" t="s">
        <v>268</v>
      </c>
      <c r="E1134" s="322">
        <f>1*E1130</f>
        <v>1</v>
      </c>
      <c r="F1134" s="327">
        <f>6.47*1.2</f>
        <v>7.76</v>
      </c>
      <c r="G1134" s="283">
        <f t="shared" si="142"/>
        <v>7.76</v>
      </c>
      <c r="H1134" s="700" t="s">
        <v>59</v>
      </c>
      <c r="I1134" s="152"/>
    </row>
    <row r="1135" spans="1:9" ht="23.25" thickBot="1" x14ac:dyDescent="0.3">
      <c r="A1135" s="582" t="s">
        <v>1131</v>
      </c>
      <c r="B1135" s="306" t="s">
        <v>813</v>
      </c>
      <c r="C1135" s="66" t="s">
        <v>814</v>
      </c>
      <c r="D1135" s="67" t="s">
        <v>269</v>
      </c>
      <c r="E1135" s="108">
        <v>1</v>
      </c>
      <c r="F1135" s="30">
        <f>SUM(G1136:G1139)/E1135</f>
        <v>29.71</v>
      </c>
      <c r="G1135" s="45">
        <f t="shared" si="142"/>
        <v>29.71</v>
      </c>
      <c r="H1135" s="64" t="s">
        <v>59</v>
      </c>
      <c r="I1135" s="482">
        <v>29.71</v>
      </c>
    </row>
    <row r="1136" spans="1:9" x14ac:dyDescent="0.25">
      <c r="A1136" s="583"/>
      <c r="B1136" s="204"/>
      <c r="C1136" s="205"/>
      <c r="D1136" s="206"/>
      <c r="E1136" s="241"/>
      <c r="F1136" s="208"/>
      <c r="G1136" s="210"/>
      <c r="H1136" s="277">
        <f>I1135-H1138</f>
        <v>11.27</v>
      </c>
    </row>
    <row r="1137" spans="1:10" x14ac:dyDescent="0.25">
      <c r="A1137" s="583"/>
      <c r="B1137" s="429">
        <v>2696</v>
      </c>
      <c r="C1137" s="430" t="s">
        <v>260</v>
      </c>
      <c r="D1137" s="739" t="s">
        <v>281</v>
      </c>
      <c r="E1137" s="379">
        <f>0.445*E1135</f>
        <v>0.44500000000000001</v>
      </c>
      <c r="F1137" s="464">
        <v>14.85</v>
      </c>
      <c r="G1137" s="741">
        <f t="shared" si="142"/>
        <v>6.61</v>
      </c>
      <c r="H1137" s="64" t="s">
        <v>60</v>
      </c>
    </row>
    <row r="1138" spans="1:10" x14ac:dyDescent="0.25">
      <c r="A1138" s="583"/>
      <c r="B1138" s="429">
        <v>6116</v>
      </c>
      <c r="C1138" s="430" t="s">
        <v>322</v>
      </c>
      <c r="D1138" s="431" t="s">
        <v>257</v>
      </c>
      <c r="E1138" s="432">
        <f>0.4445*E1135</f>
        <v>0.44450000000000001</v>
      </c>
      <c r="F1138" s="464">
        <v>10.49</v>
      </c>
      <c r="G1138" s="434">
        <f>F1138*E1138</f>
        <v>4.66</v>
      </c>
      <c r="H1138" s="277">
        <f>G1136+G1139</f>
        <v>18.440000000000001</v>
      </c>
    </row>
    <row r="1139" spans="1:10" ht="12" thickBot="1" x14ac:dyDescent="0.3">
      <c r="A1139" s="584"/>
      <c r="B1139" s="278" t="s">
        <v>16</v>
      </c>
      <c r="C1139" s="279" t="s">
        <v>815</v>
      </c>
      <c r="D1139" s="280" t="s">
        <v>269</v>
      </c>
      <c r="E1139" s="322">
        <f>1*E1135</f>
        <v>1</v>
      </c>
      <c r="F1139" s="282">
        <v>18.440000000000001</v>
      </c>
      <c r="G1139" s="283">
        <f t="shared" ref="G1139:G1140" si="143">F1139*E1139</f>
        <v>18.440000000000001</v>
      </c>
      <c r="H1139" s="684"/>
    </row>
    <row r="1140" spans="1:10" ht="23.25" thickBot="1" x14ac:dyDescent="0.3">
      <c r="A1140" s="582" t="s">
        <v>1132</v>
      </c>
      <c r="B1140" s="306" t="s">
        <v>816</v>
      </c>
      <c r="C1140" s="66" t="s">
        <v>817</v>
      </c>
      <c r="D1140" s="67" t="s">
        <v>269</v>
      </c>
      <c r="E1140" s="108">
        <v>1</v>
      </c>
      <c r="F1140" s="30">
        <f>SUM(G1141:G1143)/E1140</f>
        <v>38.51</v>
      </c>
      <c r="G1140" s="45">
        <f t="shared" si="143"/>
        <v>38.51</v>
      </c>
      <c r="H1140" s="64" t="s">
        <v>59</v>
      </c>
      <c r="I1140" s="482">
        <v>38.51</v>
      </c>
      <c r="J1140" s="797"/>
    </row>
    <row r="1141" spans="1:10" x14ac:dyDescent="0.25">
      <c r="A1141" s="583"/>
      <c r="B1141" s="429">
        <v>2696</v>
      </c>
      <c r="C1141" s="430" t="s">
        <v>260</v>
      </c>
      <c r="D1141" s="739" t="s">
        <v>281</v>
      </c>
      <c r="E1141" s="379">
        <f>0.5285*E1140</f>
        <v>0.52849999999999997</v>
      </c>
      <c r="F1141" s="464">
        <v>14.85</v>
      </c>
      <c r="G1141" s="741">
        <f t="shared" ref="G1141" si="144">F1141*E1141</f>
        <v>7.85</v>
      </c>
      <c r="H1141" s="277">
        <f>G1141+G1142</f>
        <v>13.41</v>
      </c>
      <c r="J1141" s="797"/>
    </row>
    <row r="1142" spans="1:10" x14ac:dyDescent="0.25">
      <c r="A1142" s="583"/>
      <c r="B1142" s="429">
        <v>6116</v>
      </c>
      <c r="C1142" s="430" t="s">
        <v>322</v>
      </c>
      <c r="D1142" s="431" t="s">
        <v>257</v>
      </c>
      <c r="E1142" s="432">
        <f>0.53*E1140</f>
        <v>0.53</v>
      </c>
      <c r="F1142" s="464">
        <v>10.49</v>
      </c>
      <c r="G1142" s="434">
        <f>F1142*E1142</f>
        <v>5.56</v>
      </c>
      <c r="H1142" s="64" t="s">
        <v>60</v>
      </c>
      <c r="J1142" s="798"/>
    </row>
    <row r="1143" spans="1:10" ht="12" thickBot="1" x14ac:dyDescent="0.3">
      <c r="A1143" s="584"/>
      <c r="B1143" s="278" t="s">
        <v>16</v>
      </c>
      <c r="C1143" s="279" t="s">
        <v>818</v>
      </c>
      <c r="D1143" s="280" t="s">
        <v>269</v>
      </c>
      <c r="E1143" s="322">
        <f>1*E1140</f>
        <v>1</v>
      </c>
      <c r="F1143" s="282">
        <v>25.1</v>
      </c>
      <c r="G1143" s="283">
        <f t="shared" ref="G1143" si="145">F1143*E1143</f>
        <v>25.1</v>
      </c>
      <c r="H1143" s="277">
        <f>G1143</f>
        <v>25.1</v>
      </c>
    </row>
    <row r="1144" spans="1:10" ht="57" thickBot="1" x14ac:dyDescent="0.25">
      <c r="A1144" s="582" t="s">
        <v>1133</v>
      </c>
      <c r="B1144" s="306" t="s">
        <v>819</v>
      </c>
      <c r="C1144" s="42" t="s">
        <v>91</v>
      </c>
      <c r="D1144" s="43" t="s">
        <v>268</v>
      </c>
      <c r="E1144" s="44">
        <v>1</v>
      </c>
      <c r="F1144" s="30">
        <f>SUM(G1145:G1158)/E1144</f>
        <v>672.93</v>
      </c>
      <c r="G1144" s="45">
        <f t="shared" si="142"/>
        <v>672.93</v>
      </c>
      <c r="H1144" s="346" t="s">
        <v>59</v>
      </c>
      <c r="I1144" s="482">
        <f>H1145+H1147</f>
        <v>672.93</v>
      </c>
    </row>
    <row r="1145" spans="1:10" x14ac:dyDescent="0.25">
      <c r="A1145" s="583"/>
      <c r="B1145" s="429">
        <v>370</v>
      </c>
      <c r="C1145" s="430" t="s">
        <v>258</v>
      </c>
      <c r="D1145" s="431" t="s">
        <v>272</v>
      </c>
      <c r="E1145" s="757">
        <v>0.17399999999999999</v>
      </c>
      <c r="F1145" s="433">
        <v>72</v>
      </c>
      <c r="G1145" s="434">
        <f>F1145*E1145</f>
        <v>12.53</v>
      </c>
      <c r="H1145" s="277">
        <f>(SUM(G1149:G1152))/4</f>
        <v>110.57</v>
      </c>
      <c r="I1145" s="153"/>
    </row>
    <row r="1146" spans="1:10" x14ac:dyDescent="0.25">
      <c r="A1146" s="583"/>
      <c r="B1146" s="429">
        <v>1379</v>
      </c>
      <c r="C1146" s="430" t="s">
        <v>259</v>
      </c>
      <c r="D1146" s="431" t="s">
        <v>271</v>
      </c>
      <c r="E1146" s="757">
        <v>69.599999999999994</v>
      </c>
      <c r="F1146" s="433">
        <v>0.49</v>
      </c>
      <c r="G1146" s="434">
        <f t="shared" ref="G1146:G1153" si="146">F1146*E1146</f>
        <v>34.1</v>
      </c>
      <c r="H1146" s="64" t="s">
        <v>60</v>
      </c>
      <c r="I1146" s="153"/>
    </row>
    <row r="1147" spans="1:10" x14ac:dyDescent="0.25">
      <c r="A1147" s="583"/>
      <c r="B1147" s="429">
        <v>4718</v>
      </c>
      <c r="C1147" s="430" t="s">
        <v>292</v>
      </c>
      <c r="D1147" s="431" t="s">
        <v>272</v>
      </c>
      <c r="E1147" s="757">
        <v>4.02E-2</v>
      </c>
      <c r="F1147" s="433">
        <v>83.05</v>
      </c>
      <c r="G1147" s="434">
        <f t="shared" si="146"/>
        <v>3.34</v>
      </c>
      <c r="H1147" s="277">
        <f>F1144-H1145</f>
        <v>562.36</v>
      </c>
      <c r="I1147" s="153"/>
    </row>
    <row r="1148" spans="1:10" x14ac:dyDescent="0.25">
      <c r="A1148" s="583"/>
      <c r="B1148" s="429">
        <v>4721</v>
      </c>
      <c r="C1148" s="430" t="s">
        <v>284</v>
      </c>
      <c r="D1148" s="431" t="s">
        <v>272</v>
      </c>
      <c r="E1148" s="757">
        <v>0.127</v>
      </c>
      <c r="F1148" s="433">
        <v>85.99</v>
      </c>
      <c r="G1148" s="434">
        <f t="shared" si="146"/>
        <v>10.92</v>
      </c>
      <c r="H1148" s="678"/>
      <c r="I1148" s="153"/>
    </row>
    <row r="1149" spans="1:10" x14ac:dyDescent="0.25">
      <c r="A1149" s="583"/>
      <c r="B1149" s="429">
        <v>4243</v>
      </c>
      <c r="C1149" s="430" t="s">
        <v>291</v>
      </c>
      <c r="D1149" s="431" t="s">
        <v>257</v>
      </c>
      <c r="E1149" s="757">
        <v>0.36799999999999999</v>
      </c>
      <c r="F1149" s="433">
        <v>19.78</v>
      </c>
      <c r="G1149" s="434">
        <f>F1149*E1149</f>
        <v>7.28</v>
      </c>
      <c r="H1149" s="678"/>
      <c r="I1149" s="153"/>
    </row>
    <row r="1150" spans="1:10" x14ac:dyDescent="0.25">
      <c r="A1150" s="583"/>
      <c r="B1150" s="429">
        <v>6111</v>
      </c>
      <c r="C1150" s="430" t="s">
        <v>274</v>
      </c>
      <c r="D1150" s="431" t="s">
        <v>257</v>
      </c>
      <c r="E1150" s="757">
        <v>26.89</v>
      </c>
      <c r="F1150" s="433">
        <v>10.49</v>
      </c>
      <c r="G1150" s="434">
        <f t="shared" si="146"/>
        <v>282.08</v>
      </c>
      <c r="H1150" s="678"/>
      <c r="I1150" s="153"/>
    </row>
    <row r="1151" spans="1:10" x14ac:dyDescent="0.25">
      <c r="A1151" s="583"/>
      <c r="B1151" s="429">
        <v>12865</v>
      </c>
      <c r="C1151" s="430" t="s">
        <v>318</v>
      </c>
      <c r="D1151" s="431" t="s">
        <v>257</v>
      </c>
      <c r="E1151" s="794">
        <v>3.84</v>
      </c>
      <c r="F1151" s="433">
        <v>13.05</v>
      </c>
      <c r="G1151" s="434">
        <f t="shared" si="146"/>
        <v>50.11</v>
      </c>
      <c r="H1151" s="678"/>
      <c r="I1151" s="153"/>
    </row>
    <row r="1152" spans="1:10" x14ac:dyDescent="0.25">
      <c r="A1152" s="583"/>
      <c r="B1152" s="429">
        <v>4750</v>
      </c>
      <c r="C1152" s="430" t="s">
        <v>261</v>
      </c>
      <c r="D1152" s="431" t="s">
        <v>257</v>
      </c>
      <c r="E1152" s="432">
        <v>6.95</v>
      </c>
      <c r="F1152" s="433">
        <v>14.79</v>
      </c>
      <c r="G1152" s="434">
        <f t="shared" si="146"/>
        <v>102.79</v>
      </c>
      <c r="H1152" s="678"/>
      <c r="I1152" s="153"/>
    </row>
    <row r="1153" spans="1:9" ht="22.5" x14ac:dyDescent="0.25">
      <c r="A1153" s="583"/>
      <c r="B1153" s="204">
        <v>10533</v>
      </c>
      <c r="C1153" s="205" t="s">
        <v>293</v>
      </c>
      <c r="D1153" s="206" t="s">
        <v>257</v>
      </c>
      <c r="E1153" s="385">
        <v>0.37</v>
      </c>
      <c r="F1153" s="208">
        <v>4.8</v>
      </c>
      <c r="G1153" s="210">
        <f t="shared" si="146"/>
        <v>1.78</v>
      </c>
      <c r="H1153" s="678"/>
      <c r="I1153" s="153"/>
    </row>
    <row r="1154" spans="1:9" ht="22.5" x14ac:dyDescent="0.25">
      <c r="A1154" s="583"/>
      <c r="B1154" s="204">
        <v>73546</v>
      </c>
      <c r="C1154" s="205" t="s">
        <v>37</v>
      </c>
      <c r="D1154" s="206" t="s">
        <v>272</v>
      </c>
      <c r="E1154" s="241">
        <v>0.1152</v>
      </c>
      <c r="F1154" s="208">
        <v>327.07</v>
      </c>
      <c r="G1154" s="210">
        <f>F1154*E1154</f>
        <v>37.68</v>
      </c>
      <c r="H1154" s="678"/>
      <c r="I1154" s="153"/>
    </row>
    <row r="1155" spans="1:9" x14ac:dyDescent="0.25">
      <c r="A1155" s="583"/>
      <c r="B1155" s="204">
        <v>7271</v>
      </c>
      <c r="C1155" s="240" t="s">
        <v>25</v>
      </c>
      <c r="D1155" s="206" t="s">
        <v>268</v>
      </c>
      <c r="E1155" s="241">
        <v>150</v>
      </c>
      <c r="F1155" s="208">
        <v>0.49</v>
      </c>
      <c r="G1155" s="210">
        <f>F1155*E1155</f>
        <v>73.5</v>
      </c>
      <c r="H1155" s="678"/>
      <c r="I1155" s="153"/>
    </row>
    <row r="1156" spans="1:9" ht="22.5" x14ac:dyDescent="0.25">
      <c r="A1156" s="583"/>
      <c r="B1156" s="204">
        <v>73449</v>
      </c>
      <c r="C1156" s="205" t="s">
        <v>297</v>
      </c>
      <c r="D1156" s="206" t="s">
        <v>272</v>
      </c>
      <c r="E1156" s="241">
        <v>0.06</v>
      </c>
      <c r="F1156" s="208">
        <v>336.61</v>
      </c>
      <c r="G1156" s="210">
        <f>F1156*E1156</f>
        <v>20.2</v>
      </c>
      <c r="H1156" s="678"/>
      <c r="I1156" s="153"/>
    </row>
    <row r="1157" spans="1:9" ht="22.5" x14ac:dyDescent="0.25">
      <c r="A1157" s="583"/>
      <c r="B1157" s="204">
        <v>7319</v>
      </c>
      <c r="C1157" s="205" t="s">
        <v>241</v>
      </c>
      <c r="D1157" s="206" t="s">
        <v>280</v>
      </c>
      <c r="E1157" s="241">
        <v>3.07</v>
      </c>
      <c r="F1157" s="208">
        <v>7.34</v>
      </c>
      <c r="G1157" s="210">
        <f>F1157*E1157</f>
        <v>22.53</v>
      </c>
      <c r="H1157" s="678"/>
      <c r="I1157" s="153"/>
    </row>
    <row r="1158" spans="1:9" ht="23.25" thickBot="1" x14ac:dyDescent="0.3">
      <c r="A1158" s="584"/>
      <c r="B1158" s="211">
        <v>6013</v>
      </c>
      <c r="C1158" s="216" t="s">
        <v>319</v>
      </c>
      <c r="D1158" s="212" t="s">
        <v>272</v>
      </c>
      <c r="E1158" s="271">
        <v>0.04</v>
      </c>
      <c r="F1158" s="214">
        <v>352.34</v>
      </c>
      <c r="G1158" s="215">
        <f>F1158*E1158</f>
        <v>14.09</v>
      </c>
      <c r="H1158" s="678"/>
      <c r="I1158" s="153"/>
    </row>
    <row r="1159" spans="1:9" ht="34.5" thickBot="1" x14ac:dyDescent="0.3">
      <c r="A1159" s="582" t="s">
        <v>1134</v>
      </c>
      <c r="B1159" s="310" t="s">
        <v>820</v>
      </c>
      <c r="C1159" s="400" t="s">
        <v>807</v>
      </c>
      <c r="D1159" s="43" t="s">
        <v>268</v>
      </c>
      <c r="E1159" s="44">
        <v>1</v>
      </c>
      <c r="F1159" s="30">
        <f>SUM(G1160:G1164)/E1159</f>
        <v>15953.8</v>
      </c>
      <c r="G1159" s="384">
        <f>SUM(G1160:G1164)</f>
        <v>15953.8</v>
      </c>
      <c r="H1159" s="678"/>
      <c r="I1159" s="153"/>
    </row>
    <row r="1160" spans="1:9" ht="12" thickBot="1" x14ac:dyDescent="0.3">
      <c r="A1160" s="583"/>
      <c r="B1160" s="142">
        <v>4750</v>
      </c>
      <c r="C1160" s="137" t="s">
        <v>261</v>
      </c>
      <c r="D1160" s="138" t="s">
        <v>257</v>
      </c>
      <c r="E1160" s="203">
        <v>15</v>
      </c>
      <c r="F1160" s="201">
        <v>14.79</v>
      </c>
      <c r="G1160" s="143">
        <f t="shared" ref="G1160:G1163" si="147">F1160*E1160</f>
        <v>221.85</v>
      </c>
      <c r="H1160" s="58" t="s">
        <v>59</v>
      </c>
      <c r="I1160" s="482">
        <f>H1161+H1164</f>
        <v>15953.8</v>
      </c>
    </row>
    <row r="1161" spans="1:9" x14ac:dyDescent="0.25">
      <c r="A1161" s="583"/>
      <c r="B1161" s="142">
        <v>6111</v>
      </c>
      <c r="C1161" s="137" t="s">
        <v>274</v>
      </c>
      <c r="D1161" s="138" t="s">
        <v>257</v>
      </c>
      <c r="E1161" s="203">
        <v>23.597999999999999</v>
      </c>
      <c r="F1161" s="201">
        <v>10.49</v>
      </c>
      <c r="G1161" s="143">
        <f t="shared" si="147"/>
        <v>247.54</v>
      </c>
      <c r="H1161" s="220">
        <f>(G1160+G1161+G1162+G1163)/E1159</f>
        <v>1050.19</v>
      </c>
    </row>
    <row r="1162" spans="1:9" x14ac:dyDescent="0.25">
      <c r="A1162" s="583"/>
      <c r="B1162" s="142">
        <v>4752</v>
      </c>
      <c r="C1162" s="137" t="s">
        <v>808</v>
      </c>
      <c r="D1162" s="138" t="s">
        <v>257</v>
      </c>
      <c r="E1162" s="203">
        <v>30</v>
      </c>
      <c r="F1162" s="201">
        <v>14.41</v>
      </c>
      <c r="G1162" s="143">
        <f t="shared" si="147"/>
        <v>432.3</v>
      </c>
      <c r="H1162" s="220"/>
    </row>
    <row r="1163" spans="1:9" x14ac:dyDescent="0.25">
      <c r="A1163" s="583"/>
      <c r="B1163" s="142">
        <v>2696</v>
      </c>
      <c r="C1163" s="137" t="s">
        <v>260</v>
      </c>
      <c r="D1163" s="138" t="s">
        <v>257</v>
      </c>
      <c r="E1163" s="139">
        <v>10</v>
      </c>
      <c r="F1163" s="140">
        <v>14.85</v>
      </c>
      <c r="G1163" s="198">
        <f t="shared" si="147"/>
        <v>148.5</v>
      </c>
      <c r="H1163" s="60" t="s">
        <v>60</v>
      </c>
    </row>
    <row r="1164" spans="1:9" ht="34.5" thickBot="1" x14ac:dyDescent="0.3">
      <c r="A1164" s="584"/>
      <c r="B1164" s="395" t="s">
        <v>16</v>
      </c>
      <c r="C1164" s="396" t="s">
        <v>807</v>
      </c>
      <c r="D1164" s="397" t="s">
        <v>269</v>
      </c>
      <c r="E1164" s="398">
        <v>1</v>
      </c>
      <c r="F1164" s="399">
        <v>14903.61</v>
      </c>
      <c r="G1164" s="393">
        <f>E1164*F1164</f>
        <v>14903.61</v>
      </c>
      <c r="H1164" s="221">
        <f>F1159-H1161</f>
        <v>14903.61</v>
      </c>
    </row>
    <row r="1165" spans="1:9" ht="20.25" customHeight="1" thickBot="1" x14ac:dyDescent="0.3">
      <c r="A1165" s="832">
        <v>17</v>
      </c>
      <c r="B1165" s="833"/>
      <c r="C1165" s="822" t="s">
        <v>821</v>
      </c>
      <c r="D1165" s="823"/>
      <c r="E1165" s="823"/>
      <c r="F1165" s="823"/>
      <c r="G1165" s="823"/>
      <c r="H1165" s="824"/>
      <c r="I1165" s="153"/>
    </row>
    <row r="1166" spans="1:9" ht="23.25" thickBot="1" x14ac:dyDescent="0.3">
      <c r="A1166" s="582" t="s">
        <v>212</v>
      </c>
      <c r="B1166" s="305" t="s">
        <v>822</v>
      </c>
      <c r="C1166" s="42" t="s">
        <v>94</v>
      </c>
      <c r="D1166" s="43" t="s">
        <v>232</v>
      </c>
      <c r="E1166" s="44">
        <v>12</v>
      </c>
      <c r="F1166" s="30">
        <f>SUM(G1167:G1172)/E1166</f>
        <v>242.21</v>
      </c>
      <c r="G1166" s="45">
        <f t="shared" ref="G1166:G1172" si="148">F1166*E1166</f>
        <v>2906.52</v>
      </c>
      <c r="H1166" s="799" t="s">
        <v>59</v>
      </c>
      <c r="I1166" s="576">
        <f>H1167+H1169</f>
        <v>242.21</v>
      </c>
    </row>
    <row r="1167" spans="1:9" x14ac:dyDescent="0.25">
      <c r="A1167" s="583"/>
      <c r="B1167" s="204" t="s">
        <v>16</v>
      </c>
      <c r="C1167" s="205" t="s">
        <v>97</v>
      </c>
      <c r="D1167" s="206" t="s">
        <v>269</v>
      </c>
      <c r="E1167" s="241">
        <f>2*E1166</f>
        <v>24</v>
      </c>
      <c r="F1167" s="208">
        <v>40</v>
      </c>
      <c r="G1167" s="210">
        <f t="shared" si="148"/>
        <v>960</v>
      </c>
      <c r="H1167" s="800">
        <f>(G1171+G1172)/E1166</f>
        <v>13.21</v>
      </c>
      <c r="I1167" s="153"/>
    </row>
    <row r="1168" spans="1:9" ht="22.5" x14ac:dyDescent="0.25">
      <c r="A1168" s="583"/>
      <c r="B1168" s="204" t="s">
        <v>16</v>
      </c>
      <c r="C1168" s="205" t="s">
        <v>95</v>
      </c>
      <c r="D1168" s="206" t="s">
        <v>269</v>
      </c>
      <c r="E1168" s="241">
        <v>4</v>
      </c>
      <c r="F1168" s="226">
        <v>52</v>
      </c>
      <c r="G1168" s="210">
        <f t="shared" si="148"/>
        <v>208</v>
      </c>
      <c r="H1168" s="801" t="s">
        <v>60</v>
      </c>
      <c r="I1168" s="153"/>
    </row>
    <row r="1169" spans="1:12" ht="23.25" thickBot="1" x14ac:dyDescent="0.3">
      <c r="A1169" s="583"/>
      <c r="B1169" s="204" t="s">
        <v>16</v>
      </c>
      <c r="C1169" s="205" t="s">
        <v>96</v>
      </c>
      <c r="D1169" s="206" t="s">
        <v>268</v>
      </c>
      <c r="E1169" s="401">
        <v>4</v>
      </c>
      <c r="F1169" s="226">
        <v>35</v>
      </c>
      <c r="G1169" s="227">
        <f>F1169*E1169</f>
        <v>140</v>
      </c>
      <c r="H1169" s="802">
        <f>F1166-H1167</f>
        <v>229</v>
      </c>
      <c r="I1169" s="153"/>
    </row>
    <row r="1170" spans="1:12" ht="22.5" x14ac:dyDescent="0.25">
      <c r="A1170" s="583"/>
      <c r="B1170" s="204" t="s">
        <v>16</v>
      </c>
      <c r="C1170" s="205" t="s">
        <v>98</v>
      </c>
      <c r="D1170" s="206" t="s">
        <v>268</v>
      </c>
      <c r="E1170" s="401">
        <v>32</v>
      </c>
      <c r="F1170" s="226">
        <v>45</v>
      </c>
      <c r="G1170" s="227">
        <f>F1170*E1170</f>
        <v>1440</v>
      </c>
      <c r="H1170" s="678"/>
      <c r="I1170" s="153"/>
    </row>
    <row r="1171" spans="1:12" x14ac:dyDescent="0.25">
      <c r="A1171" s="583"/>
      <c r="B1171" s="429">
        <v>2696</v>
      </c>
      <c r="C1171" s="430" t="s">
        <v>260</v>
      </c>
      <c r="D1171" s="431" t="s">
        <v>257</v>
      </c>
      <c r="E1171" s="432">
        <f>0.5*E1166</f>
        <v>6</v>
      </c>
      <c r="F1171" s="464">
        <v>14.85</v>
      </c>
      <c r="G1171" s="434">
        <f t="shared" si="148"/>
        <v>89.1</v>
      </c>
      <c r="H1171" s="678"/>
      <c r="I1171" s="153"/>
    </row>
    <row r="1172" spans="1:12" ht="12" thickBot="1" x14ac:dyDescent="0.3">
      <c r="A1172" s="583"/>
      <c r="B1172" s="465">
        <v>6116</v>
      </c>
      <c r="C1172" s="466" t="s">
        <v>322</v>
      </c>
      <c r="D1172" s="467" t="s">
        <v>257</v>
      </c>
      <c r="E1172" s="468">
        <f>0.5*E1166</f>
        <v>6</v>
      </c>
      <c r="F1172" s="469">
        <v>11.57</v>
      </c>
      <c r="G1172" s="470">
        <f t="shared" si="148"/>
        <v>69.42</v>
      </c>
      <c r="H1172" s="692"/>
    </row>
    <row r="1173" spans="1:12" ht="19.5" customHeight="1" thickBot="1" x14ac:dyDescent="0.3">
      <c r="A1173" s="832">
        <v>18</v>
      </c>
      <c r="B1173" s="833"/>
      <c r="C1173" s="822" t="s">
        <v>330</v>
      </c>
      <c r="D1173" s="823"/>
      <c r="E1173" s="823"/>
      <c r="F1173" s="823"/>
      <c r="G1173" s="823"/>
      <c r="H1173" s="824"/>
      <c r="I1173" s="152"/>
      <c r="J1173" s="41"/>
      <c r="K1173" s="41"/>
      <c r="L1173" s="41"/>
    </row>
    <row r="1174" spans="1:12" ht="21" customHeight="1" x14ac:dyDescent="0.25">
      <c r="A1174" s="582" t="s">
        <v>213</v>
      </c>
      <c r="B1174" s="581">
        <v>72543</v>
      </c>
      <c r="C1174" s="78" t="s">
        <v>619</v>
      </c>
      <c r="D1174" s="79" t="s">
        <v>268</v>
      </c>
      <c r="E1174" s="87">
        <v>1</v>
      </c>
      <c r="F1174" s="49">
        <f>SUM(G1175:G1179)/E1174</f>
        <v>35.06</v>
      </c>
      <c r="G1174" s="334">
        <f t="shared" ref="G1174:G1179" si="149">F1174*E1174</f>
        <v>35.06</v>
      </c>
      <c r="H1174" s="58" t="s">
        <v>59</v>
      </c>
      <c r="I1174" s="228">
        <v>35.06</v>
      </c>
      <c r="J1174" s="41"/>
      <c r="K1174" s="41"/>
      <c r="L1174" s="41"/>
    </row>
    <row r="1175" spans="1:12" x14ac:dyDescent="0.25">
      <c r="A1175" s="583"/>
      <c r="B1175" s="204">
        <v>122</v>
      </c>
      <c r="C1175" s="205" t="s">
        <v>323</v>
      </c>
      <c r="D1175" s="206" t="s">
        <v>268</v>
      </c>
      <c r="E1175" s="207">
        <f>0.0529*E1174</f>
        <v>5.2900000000000003E-2</v>
      </c>
      <c r="F1175" s="208">
        <v>30.09</v>
      </c>
      <c r="G1175" s="210">
        <f t="shared" si="149"/>
        <v>1.59</v>
      </c>
      <c r="H1175" s="220">
        <f>I1174-H1177</f>
        <v>6.29</v>
      </c>
      <c r="I1175" s="153"/>
      <c r="J1175" s="41"/>
      <c r="K1175" s="41"/>
      <c r="L1175" s="41"/>
    </row>
    <row r="1176" spans="1:12" ht="22.5" x14ac:dyDescent="0.25">
      <c r="A1176" s="583"/>
      <c r="B1176" s="429">
        <v>88267</v>
      </c>
      <c r="C1176" s="430" t="s">
        <v>755</v>
      </c>
      <c r="D1176" s="431" t="s">
        <v>257</v>
      </c>
      <c r="E1176" s="432">
        <f>0.1995*E1174</f>
        <v>0.19950000000000001</v>
      </c>
      <c r="F1176" s="464">
        <v>17.940000000000001</v>
      </c>
      <c r="G1176" s="434">
        <f>F1176*E1176</f>
        <v>3.58</v>
      </c>
      <c r="H1176" s="60" t="s">
        <v>60</v>
      </c>
      <c r="I1176" s="153"/>
      <c r="J1176" s="41"/>
      <c r="K1176" s="41"/>
      <c r="L1176" s="41"/>
    </row>
    <row r="1177" spans="1:12" ht="12" thickBot="1" x14ac:dyDescent="0.3">
      <c r="A1177" s="583"/>
      <c r="B1177" s="429">
        <v>88316</v>
      </c>
      <c r="C1177" s="430" t="s">
        <v>690</v>
      </c>
      <c r="D1177" s="431" t="s">
        <v>257</v>
      </c>
      <c r="E1177" s="432">
        <f>0.2*E1174</f>
        <v>0.2</v>
      </c>
      <c r="F1177" s="464">
        <v>13.56</v>
      </c>
      <c r="G1177" s="434">
        <f>F1177*E1177</f>
        <v>2.71</v>
      </c>
      <c r="H1177" s="221">
        <f>G1175+G1178+G1179</f>
        <v>28.77</v>
      </c>
      <c r="I1177" s="162"/>
      <c r="J1177" s="41"/>
      <c r="K1177" s="41"/>
      <c r="L1177" s="41"/>
    </row>
    <row r="1178" spans="1:12" ht="22.5" x14ac:dyDescent="0.25">
      <c r="A1178" s="583"/>
      <c r="B1178" s="204">
        <v>1965</v>
      </c>
      <c r="C1178" s="205" t="s">
        <v>620</v>
      </c>
      <c r="D1178" s="206" t="s">
        <v>268</v>
      </c>
      <c r="E1178" s="207">
        <f>1*E1174</f>
        <v>1</v>
      </c>
      <c r="F1178" s="208">
        <v>26.65</v>
      </c>
      <c r="G1178" s="210">
        <f t="shared" si="149"/>
        <v>26.65</v>
      </c>
      <c r="H1178" s="678"/>
      <c r="I1178" s="153"/>
      <c r="J1178" s="41"/>
      <c r="K1178" s="41"/>
      <c r="L1178" s="41"/>
    </row>
    <row r="1179" spans="1:12" ht="12" thickBot="1" x14ac:dyDescent="0.3">
      <c r="A1179" s="584"/>
      <c r="B1179" s="211">
        <v>20083</v>
      </c>
      <c r="C1179" s="216" t="s">
        <v>324</v>
      </c>
      <c r="D1179" s="212" t="s">
        <v>268</v>
      </c>
      <c r="E1179" s="213">
        <f>0.015*E1174</f>
        <v>1.4999999999999999E-2</v>
      </c>
      <c r="F1179" s="214">
        <v>35.64</v>
      </c>
      <c r="G1179" s="215">
        <f t="shared" si="149"/>
        <v>0.53</v>
      </c>
      <c r="H1179" s="677"/>
      <c r="I1179" s="165"/>
      <c r="J1179" s="41"/>
      <c r="K1179" s="41"/>
      <c r="L1179" s="41"/>
    </row>
    <row r="1180" spans="1:12" ht="22.5" customHeight="1" thickBot="1" x14ac:dyDescent="0.3">
      <c r="A1180" s="582" t="s">
        <v>1135</v>
      </c>
      <c r="B1180" s="305">
        <v>72541</v>
      </c>
      <c r="C1180" s="42" t="s">
        <v>621</v>
      </c>
      <c r="D1180" s="43" t="s">
        <v>268</v>
      </c>
      <c r="E1180" s="75">
        <v>1</v>
      </c>
      <c r="F1180" s="30">
        <f>SUM(G1181:G1185)/E1180</f>
        <v>22.13</v>
      </c>
      <c r="G1180" s="45">
        <f t="shared" ref="G1180:G1181" si="150">F1180*E1180</f>
        <v>22.13</v>
      </c>
      <c r="H1180" s="58" t="s">
        <v>59</v>
      </c>
      <c r="I1180" s="576">
        <v>22.13</v>
      </c>
      <c r="J1180" s="41"/>
      <c r="K1180" s="41"/>
      <c r="L1180" s="41"/>
    </row>
    <row r="1181" spans="1:12" x14ac:dyDescent="0.25">
      <c r="A1181" s="583"/>
      <c r="B1181" s="204">
        <v>122</v>
      </c>
      <c r="C1181" s="205" t="s">
        <v>323</v>
      </c>
      <c r="D1181" s="206" t="s">
        <v>268</v>
      </c>
      <c r="E1181" s="207">
        <f>0.0529*E1180</f>
        <v>5.2900000000000003E-2</v>
      </c>
      <c r="F1181" s="208">
        <v>30.09</v>
      </c>
      <c r="G1181" s="210">
        <f t="shared" si="150"/>
        <v>1.59</v>
      </c>
      <c r="H1181" s="220">
        <f>I1180-H1183</f>
        <v>6.29</v>
      </c>
      <c r="I1181" s="153"/>
      <c r="J1181" s="41"/>
      <c r="K1181" s="41"/>
      <c r="L1181" s="41"/>
    </row>
    <row r="1182" spans="1:12" ht="22.5" x14ac:dyDescent="0.25">
      <c r="A1182" s="583"/>
      <c r="B1182" s="429">
        <v>88267</v>
      </c>
      <c r="C1182" s="430" t="s">
        <v>755</v>
      </c>
      <c r="D1182" s="431" t="s">
        <v>257</v>
      </c>
      <c r="E1182" s="432">
        <f>0.1995*E1180</f>
        <v>0.19950000000000001</v>
      </c>
      <c r="F1182" s="464">
        <v>17.940000000000001</v>
      </c>
      <c r="G1182" s="434">
        <f>F1182*E1182</f>
        <v>3.58</v>
      </c>
      <c r="H1182" s="60" t="s">
        <v>60</v>
      </c>
      <c r="I1182" s="153"/>
      <c r="J1182" s="41"/>
      <c r="K1182" s="41"/>
      <c r="L1182" s="41"/>
    </row>
    <row r="1183" spans="1:12" ht="12" thickBot="1" x14ac:dyDescent="0.3">
      <c r="A1183" s="583"/>
      <c r="B1183" s="429">
        <v>88316</v>
      </c>
      <c r="C1183" s="430" t="s">
        <v>690</v>
      </c>
      <c r="D1183" s="431" t="s">
        <v>257</v>
      </c>
      <c r="E1183" s="432">
        <f>0.2*E1180</f>
        <v>0.2</v>
      </c>
      <c r="F1183" s="464">
        <v>13.56</v>
      </c>
      <c r="G1183" s="434">
        <f>F1183*E1183</f>
        <v>2.71</v>
      </c>
      <c r="H1183" s="221">
        <f>G1181+G1184+G1185</f>
        <v>15.84</v>
      </c>
      <c r="I1183" s="162"/>
      <c r="J1183" s="41"/>
      <c r="K1183" s="41"/>
      <c r="L1183" s="41"/>
    </row>
    <row r="1184" spans="1:12" ht="22.5" x14ac:dyDescent="0.25">
      <c r="A1184" s="583"/>
      <c r="B1184" s="204">
        <v>1966</v>
      </c>
      <c r="C1184" s="205" t="s">
        <v>622</v>
      </c>
      <c r="D1184" s="206" t="s">
        <v>268</v>
      </c>
      <c r="E1184" s="207">
        <f>1*E1180</f>
        <v>1</v>
      </c>
      <c r="F1184" s="208">
        <v>13.72</v>
      </c>
      <c r="G1184" s="210">
        <f t="shared" ref="G1184:G1187" si="151">F1184*E1184</f>
        <v>13.72</v>
      </c>
      <c r="H1184" s="678"/>
      <c r="I1184" s="153"/>
      <c r="J1184" s="41"/>
      <c r="K1184" s="41"/>
      <c r="L1184" s="41"/>
    </row>
    <row r="1185" spans="1:12" ht="12" thickBot="1" x14ac:dyDescent="0.3">
      <c r="A1185" s="584"/>
      <c r="B1185" s="211">
        <v>20083</v>
      </c>
      <c r="C1185" s="216" t="s">
        <v>324</v>
      </c>
      <c r="D1185" s="212" t="s">
        <v>268</v>
      </c>
      <c r="E1185" s="213">
        <f>0.015*E1180</f>
        <v>1.4999999999999999E-2</v>
      </c>
      <c r="F1185" s="214">
        <v>35.64</v>
      </c>
      <c r="G1185" s="215">
        <f t="shared" si="151"/>
        <v>0.53</v>
      </c>
      <c r="H1185" s="677"/>
      <c r="I1185" s="165"/>
      <c r="J1185" s="41"/>
      <c r="K1185" s="41"/>
      <c r="L1185" s="41"/>
    </row>
    <row r="1186" spans="1:12" ht="23.25" customHeight="1" thickBot="1" x14ac:dyDescent="0.3">
      <c r="A1186" s="582" t="s">
        <v>1136</v>
      </c>
      <c r="B1186" s="305">
        <v>72603</v>
      </c>
      <c r="C1186" s="42" t="s">
        <v>1286</v>
      </c>
      <c r="D1186" s="43" t="s">
        <v>268</v>
      </c>
      <c r="E1186" s="75">
        <v>1</v>
      </c>
      <c r="F1186" s="30">
        <f>SUM(G1187:G1191)/E1186</f>
        <v>25.48</v>
      </c>
      <c r="G1186" s="45">
        <f t="shared" si="151"/>
        <v>25.48</v>
      </c>
      <c r="H1186" s="58" t="s">
        <v>59</v>
      </c>
      <c r="I1186" s="576">
        <v>25.48</v>
      </c>
      <c r="J1186" s="41"/>
      <c r="K1186" s="41"/>
      <c r="L1186" s="41"/>
    </row>
    <row r="1187" spans="1:12" x14ac:dyDescent="0.25">
      <c r="A1187" s="583"/>
      <c r="B1187" s="204">
        <v>122</v>
      </c>
      <c r="C1187" s="205" t="s">
        <v>323</v>
      </c>
      <c r="D1187" s="206" t="s">
        <v>268</v>
      </c>
      <c r="E1187" s="207">
        <f>0.0765*E1186</f>
        <v>7.6499999999999999E-2</v>
      </c>
      <c r="F1187" s="208">
        <v>30.09</v>
      </c>
      <c r="G1187" s="210">
        <f t="shared" si="151"/>
        <v>2.2999999999999998</v>
      </c>
      <c r="H1187" s="220">
        <f>I1186-H1189</f>
        <v>12.58</v>
      </c>
      <c r="I1187" s="153"/>
      <c r="J1187" s="41"/>
      <c r="K1187" s="41"/>
      <c r="L1187" s="41"/>
    </row>
    <row r="1188" spans="1:12" ht="22.5" x14ac:dyDescent="0.25">
      <c r="A1188" s="583"/>
      <c r="B1188" s="32">
        <v>88267</v>
      </c>
      <c r="C1188" s="13" t="s">
        <v>755</v>
      </c>
      <c r="D1188" s="14" t="s">
        <v>257</v>
      </c>
      <c r="E1188" s="22">
        <f>0.399*E1186</f>
        <v>0.39900000000000002</v>
      </c>
      <c r="F1188" s="18">
        <v>17.940000000000001</v>
      </c>
      <c r="G1188" s="33">
        <f>F1188*E1188</f>
        <v>7.16</v>
      </c>
      <c r="H1188" s="60" t="s">
        <v>60</v>
      </c>
      <c r="I1188" s="153"/>
      <c r="J1188" s="41"/>
      <c r="K1188" s="41"/>
      <c r="L1188" s="41"/>
    </row>
    <row r="1189" spans="1:12" ht="12" thickBot="1" x14ac:dyDescent="0.3">
      <c r="A1189" s="583"/>
      <c r="B1189" s="32">
        <v>88316</v>
      </c>
      <c r="C1189" s="13" t="s">
        <v>690</v>
      </c>
      <c r="D1189" s="14" t="s">
        <v>257</v>
      </c>
      <c r="E1189" s="22">
        <f>0.4*E1186</f>
        <v>0.4</v>
      </c>
      <c r="F1189" s="18">
        <v>13.56</v>
      </c>
      <c r="G1189" s="33">
        <f>F1189*E1189</f>
        <v>5.42</v>
      </c>
      <c r="H1189" s="221">
        <f>G1187+G1190+G1191</f>
        <v>12.9</v>
      </c>
      <c r="I1189" s="162"/>
      <c r="J1189" s="41"/>
      <c r="K1189" s="41"/>
      <c r="L1189" s="41"/>
    </row>
    <row r="1190" spans="1:12" ht="22.5" x14ac:dyDescent="0.25">
      <c r="A1190" s="583"/>
      <c r="B1190" s="204">
        <v>3670</v>
      </c>
      <c r="C1190" s="205" t="s">
        <v>591</v>
      </c>
      <c r="D1190" s="206" t="s">
        <v>268</v>
      </c>
      <c r="E1190" s="207">
        <f>1*E1186</f>
        <v>1</v>
      </c>
      <c r="F1190" s="208">
        <v>10.24</v>
      </c>
      <c r="G1190" s="210">
        <f t="shared" ref="G1190:G1193" si="152">F1190*E1190</f>
        <v>10.24</v>
      </c>
      <c r="H1190" s="678"/>
      <c r="I1190" s="153"/>
      <c r="J1190" s="41"/>
      <c r="K1190" s="41"/>
      <c r="L1190" s="41"/>
    </row>
    <row r="1191" spans="1:12" ht="12" thickBot="1" x14ac:dyDescent="0.3">
      <c r="A1191" s="584"/>
      <c r="B1191" s="211">
        <v>20083</v>
      </c>
      <c r="C1191" s="216" t="s">
        <v>324</v>
      </c>
      <c r="D1191" s="212" t="s">
        <v>268</v>
      </c>
      <c r="E1191" s="213">
        <f>0.01*E1186</f>
        <v>0.01</v>
      </c>
      <c r="F1191" s="214">
        <v>35.64</v>
      </c>
      <c r="G1191" s="215">
        <f t="shared" si="152"/>
        <v>0.36</v>
      </c>
      <c r="H1191" s="677"/>
      <c r="I1191" s="165"/>
      <c r="J1191" s="41"/>
      <c r="K1191" s="41"/>
      <c r="L1191" s="41"/>
    </row>
    <row r="1192" spans="1:12" ht="22.5" customHeight="1" thickBot="1" x14ac:dyDescent="0.3">
      <c r="A1192" s="582" t="s">
        <v>1137</v>
      </c>
      <c r="B1192" s="305">
        <v>72628</v>
      </c>
      <c r="C1192" s="42" t="s">
        <v>1287</v>
      </c>
      <c r="D1192" s="43" t="s">
        <v>268</v>
      </c>
      <c r="E1192" s="75">
        <v>1</v>
      </c>
      <c r="F1192" s="30">
        <f>SUM(G1193:G1197)/E1192</f>
        <v>11.96</v>
      </c>
      <c r="G1192" s="45">
        <f t="shared" si="152"/>
        <v>11.96</v>
      </c>
      <c r="H1192" s="58" t="s">
        <v>59</v>
      </c>
      <c r="I1192" s="576">
        <v>11.96</v>
      </c>
      <c r="J1192" s="41"/>
      <c r="K1192" s="41"/>
      <c r="L1192" s="41"/>
    </row>
    <row r="1193" spans="1:12" x14ac:dyDescent="0.25">
      <c r="A1193" s="583"/>
      <c r="B1193" s="204">
        <v>122</v>
      </c>
      <c r="C1193" s="205" t="s">
        <v>323</v>
      </c>
      <c r="D1193" s="206" t="s">
        <v>268</v>
      </c>
      <c r="E1193" s="207">
        <f>0.0529*E1192</f>
        <v>5.2900000000000003E-2</v>
      </c>
      <c r="F1193" s="208">
        <v>30.09</v>
      </c>
      <c r="G1193" s="210">
        <f t="shared" si="152"/>
        <v>1.59</v>
      </c>
      <c r="H1193" s="220">
        <f>I1192-H1195</f>
        <v>6.6</v>
      </c>
      <c r="I1193" s="153"/>
      <c r="J1193" s="41"/>
      <c r="K1193" s="41"/>
      <c r="L1193" s="41"/>
    </row>
    <row r="1194" spans="1:12" ht="22.5" x14ac:dyDescent="0.25">
      <c r="A1194" s="583"/>
      <c r="B1194" s="32">
        <v>88267</v>
      </c>
      <c r="C1194" s="13" t="s">
        <v>755</v>
      </c>
      <c r="D1194" s="14" t="s">
        <v>257</v>
      </c>
      <c r="E1194" s="22">
        <f>0.209*E1192</f>
        <v>0.20899999999999999</v>
      </c>
      <c r="F1194" s="18">
        <v>17.940000000000001</v>
      </c>
      <c r="G1194" s="33">
        <f>F1194*E1194</f>
        <v>3.75</v>
      </c>
      <c r="H1194" s="60" t="s">
        <v>60</v>
      </c>
      <c r="I1194" s="153"/>
      <c r="J1194" s="41"/>
      <c r="K1194" s="41"/>
      <c r="L1194" s="41"/>
    </row>
    <row r="1195" spans="1:12" ht="12" thickBot="1" x14ac:dyDescent="0.3">
      <c r="A1195" s="583"/>
      <c r="B1195" s="32">
        <v>88316</v>
      </c>
      <c r="C1195" s="13" t="s">
        <v>690</v>
      </c>
      <c r="D1195" s="14" t="s">
        <v>257</v>
      </c>
      <c r="E1195" s="22">
        <f>0.21*E1192</f>
        <v>0.21</v>
      </c>
      <c r="F1195" s="18">
        <v>13.56</v>
      </c>
      <c r="G1195" s="33">
        <f>F1195*E1195</f>
        <v>2.85</v>
      </c>
      <c r="H1195" s="221">
        <f>G1193+G1196+G1197</f>
        <v>5.36</v>
      </c>
      <c r="I1195" s="162"/>
      <c r="J1195" s="41"/>
      <c r="K1195" s="41"/>
      <c r="L1195" s="41"/>
    </row>
    <row r="1196" spans="1:12" ht="21.75" customHeight="1" x14ac:dyDescent="0.25">
      <c r="A1196" s="583"/>
      <c r="B1196" s="204">
        <v>3899</v>
      </c>
      <c r="C1196" s="205" t="s">
        <v>623</v>
      </c>
      <c r="D1196" s="206" t="s">
        <v>268</v>
      </c>
      <c r="E1196" s="207">
        <f>1*E1192</f>
        <v>1</v>
      </c>
      <c r="F1196" s="208">
        <v>3.45</v>
      </c>
      <c r="G1196" s="210">
        <f t="shared" ref="G1196:G1199" si="153">F1196*E1196</f>
        <v>3.45</v>
      </c>
      <c r="H1196" s="678"/>
      <c r="I1196" s="153"/>
      <c r="J1196" s="41"/>
      <c r="K1196" s="41"/>
      <c r="L1196" s="41"/>
    </row>
    <row r="1197" spans="1:12" ht="12" thickBot="1" x14ac:dyDescent="0.3">
      <c r="A1197" s="584"/>
      <c r="B1197" s="211">
        <v>20083</v>
      </c>
      <c r="C1197" s="216" t="s">
        <v>324</v>
      </c>
      <c r="D1197" s="212" t="s">
        <v>268</v>
      </c>
      <c r="E1197" s="213">
        <f>0.009*E1192</f>
        <v>8.9999999999999993E-3</v>
      </c>
      <c r="F1197" s="214">
        <v>35.64</v>
      </c>
      <c r="G1197" s="215">
        <f t="shared" si="153"/>
        <v>0.32</v>
      </c>
      <c r="H1197" s="677"/>
      <c r="I1197" s="165"/>
      <c r="J1197" s="41"/>
      <c r="K1197" s="41"/>
      <c r="L1197" s="41"/>
    </row>
    <row r="1198" spans="1:12" ht="21.75" customHeight="1" thickBot="1" x14ac:dyDescent="0.3">
      <c r="A1198" s="582" t="s">
        <v>1138</v>
      </c>
      <c r="B1198" s="305">
        <v>83706</v>
      </c>
      <c r="C1198" s="42" t="s">
        <v>602</v>
      </c>
      <c r="D1198" s="43" t="s">
        <v>268</v>
      </c>
      <c r="E1198" s="75">
        <v>1</v>
      </c>
      <c r="F1198" s="30">
        <f>SUM(G1199:G1203)/E1198</f>
        <v>46.37</v>
      </c>
      <c r="G1198" s="45">
        <f t="shared" si="153"/>
        <v>46.37</v>
      </c>
      <c r="H1198" s="58" t="s">
        <v>59</v>
      </c>
      <c r="I1198" s="576">
        <v>46.37</v>
      </c>
      <c r="J1198" s="41"/>
      <c r="K1198" s="41"/>
      <c r="L1198" s="41"/>
    </row>
    <row r="1199" spans="1:12" ht="22.5" x14ac:dyDescent="0.25">
      <c r="A1199" s="583"/>
      <c r="B1199" s="204">
        <v>305</v>
      </c>
      <c r="C1199" s="205" t="s">
        <v>603</v>
      </c>
      <c r="D1199" s="206" t="s">
        <v>268</v>
      </c>
      <c r="E1199" s="207">
        <f>1*E1198</f>
        <v>1</v>
      </c>
      <c r="F1199" s="208">
        <v>5.2</v>
      </c>
      <c r="G1199" s="210">
        <f t="shared" si="153"/>
        <v>5.2</v>
      </c>
      <c r="H1199" s="220">
        <f>I1198-H1201</f>
        <v>18</v>
      </c>
      <c r="I1199" s="153"/>
      <c r="J1199" s="41"/>
      <c r="K1199" s="41"/>
      <c r="L1199" s="41"/>
    </row>
    <row r="1200" spans="1:12" ht="22.5" x14ac:dyDescent="0.25">
      <c r="A1200" s="583"/>
      <c r="B1200" s="429">
        <v>88267</v>
      </c>
      <c r="C1200" s="430" t="s">
        <v>755</v>
      </c>
      <c r="D1200" s="431" t="s">
        <v>257</v>
      </c>
      <c r="E1200" s="432">
        <f>0.5615*E1198</f>
        <v>0.5615</v>
      </c>
      <c r="F1200" s="464">
        <v>17.940000000000001</v>
      </c>
      <c r="G1200" s="434">
        <f>F1200*E1200</f>
        <v>10.07</v>
      </c>
      <c r="H1200" s="60" t="s">
        <v>60</v>
      </c>
      <c r="I1200" s="153"/>
      <c r="J1200" s="41"/>
      <c r="K1200" s="41"/>
      <c r="L1200" s="41"/>
    </row>
    <row r="1201" spans="1:12" ht="23.25" thickBot="1" x14ac:dyDescent="0.3">
      <c r="A1201" s="583"/>
      <c r="B1201" s="429">
        <v>88248</v>
      </c>
      <c r="C1201" s="430" t="s">
        <v>756</v>
      </c>
      <c r="D1201" s="431" t="s">
        <v>257</v>
      </c>
      <c r="E1201" s="432">
        <f>0.56*E1198</f>
        <v>0.56000000000000005</v>
      </c>
      <c r="F1201" s="433">
        <v>14.16</v>
      </c>
      <c r="G1201" s="434">
        <f>F1201*E1201</f>
        <v>7.93</v>
      </c>
      <c r="H1201" s="221">
        <f>G1199+G1202+G1203</f>
        <v>28.37</v>
      </c>
      <c r="I1201" s="162"/>
      <c r="J1201" s="41"/>
      <c r="K1201" s="41"/>
      <c r="L1201" s="41"/>
    </row>
    <row r="1202" spans="1:12" x14ac:dyDescent="0.25">
      <c r="A1202" s="583"/>
      <c r="B1202" s="204">
        <v>9818</v>
      </c>
      <c r="C1202" s="205" t="s">
        <v>1289</v>
      </c>
      <c r="D1202" s="206" t="s">
        <v>268</v>
      </c>
      <c r="E1202" s="207">
        <f>1.01*E1198</f>
        <v>1.01</v>
      </c>
      <c r="F1202" s="208">
        <v>21.41</v>
      </c>
      <c r="G1202" s="210">
        <f t="shared" ref="G1202:G1205" si="154">F1202*E1202</f>
        <v>21.62</v>
      </c>
      <c r="H1202" s="678"/>
      <c r="I1202" s="153"/>
      <c r="J1202" s="41"/>
      <c r="K1202" s="41"/>
      <c r="L1202" s="41"/>
    </row>
    <row r="1203" spans="1:12" ht="23.25" thickBot="1" x14ac:dyDescent="0.3">
      <c r="A1203" s="584"/>
      <c r="B1203" s="211">
        <v>20079</v>
      </c>
      <c r="C1203" s="216" t="s">
        <v>1288</v>
      </c>
      <c r="D1203" s="212" t="s">
        <v>268</v>
      </c>
      <c r="E1203" s="213">
        <f>0.0066*E1198</f>
        <v>6.6E-3</v>
      </c>
      <c r="F1203" s="214">
        <v>234.66</v>
      </c>
      <c r="G1203" s="215">
        <f t="shared" si="154"/>
        <v>1.55</v>
      </c>
      <c r="H1203" s="677"/>
      <c r="I1203" s="165"/>
      <c r="J1203" s="41"/>
      <c r="K1203" s="41"/>
      <c r="L1203" s="41"/>
    </row>
    <row r="1204" spans="1:12" ht="24" customHeight="1" thickBot="1" x14ac:dyDescent="0.3">
      <c r="A1204" s="582" t="s">
        <v>1139</v>
      </c>
      <c r="B1204" s="305">
        <v>85123</v>
      </c>
      <c r="C1204" s="42" t="s">
        <v>605</v>
      </c>
      <c r="D1204" s="43" t="s">
        <v>268</v>
      </c>
      <c r="E1204" s="75">
        <v>1</v>
      </c>
      <c r="F1204" s="30">
        <f>SUM(G1205:G1209)/E1204</f>
        <v>25.96</v>
      </c>
      <c r="G1204" s="45">
        <f t="shared" si="154"/>
        <v>25.96</v>
      </c>
      <c r="H1204" s="58" t="s">
        <v>59</v>
      </c>
      <c r="I1204" s="576">
        <v>25.96</v>
      </c>
      <c r="J1204" s="41"/>
      <c r="K1204" s="41"/>
      <c r="L1204" s="41"/>
    </row>
    <row r="1205" spans="1:12" ht="22.5" x14ac:dyDescent="0.25">
      <c r="A1205" s="583"/>
      <c r="B1205" s="204">
        <v>301</v>
      </c>
      <c r="C1205" s="205" t="s">
        <v>606</v>
      </c>
      <c r="D1205" s="206" t="s">
        <v>268</v>
      </c>
      <c r="E1205" s="207">
        <f>1*E1204</f>
        <v>1</v>
      </c>
      <c r="F1205" s="208">
        <v>1.3</v>
      </c>
      <c r="G1205" s="210">
        <f t="shared" si="154"/>
        <v>1.3</v>
      </c>
      <c r="H1205" s="220">
        <f>I1204-H1207</f>
        <v>16.7</v>
      </c>
      <c r="I1205" s="153"/>
      <c r="J1205" s="41"/>
      <c r="K1205" s="41"/>
      <c r="L1205" s="41"/>
    </row>
    <row r="1206" spans="1:12" ht="22.5" x14ac:dyDescent="0.25">
      <c r="A1206" s="583"/>
      <c r="B1206" s="429">
        <v>88267</v>
      </c>
      <c r="C1206" s="430" t="s">
        <v>755</v>
      </c>
      <c r="D1206" s="431" t="s">
        <v>257</v>
      </c>
      <c r="E1206" s="432">
        <f>0.5205*E1204</f>
        <v>0.52049999999999996</v>
      </c>
      <c r="F1206" s="464">
        <v>17.940000000000001</v>
      </c>
      <c r="G1206" s="434">
        <f>F1206*E1206</f>
        <v>9.34</v>
      </c>
      <c r="H1206" s="60" t="s">
        <v>60</v>
      </c>
      <c r="I1206" s="153"/>
      <c r="J1206" s="41"/>
      <c r="K1206" s="41"/>
      <c r="L1206" s="41"/>
    </row>
    <row r="1207" spans="1:12" ht="23.25" thickBot="1" x14ac:dyDescent="0.3">
      <c r="A1207" s="583"/>
      <c r="B1207" s="429">
        <v>88248</v>
      </c>
      <c r="C1207" s="430" t="s">
        <v>756</v>
      </c>
      <c r="D1207" s="431" t="s">
        <v>257</v>
      </c>
      <c r="E1207" s="432">
        <f>0.52*E1204</f>
        <v>0.52</v>
      </c>
      <c r="F1207" s="433">
        <v>14.16</v>
      </c>
      <c r="G1207" s="434">
        <f>F1207*E1207</f>
        <v>7.36</v>
      </c>
      <c r="H1207" s="221">
        <f>G1205+G1208+G1209</f>
        <v>9.26</v>
      </c>
      <c r="I1207" s="162"/>
      <c r="J1207" s="41"/>
      <c r="K1207" s="41"/>
      <c r="L1207" s="41"/>
    </row>
    <row r="1208" spans="1:12" ht="22.5" x14ac:dyDescent="0.25">
      <c r="A1208" s="583"/>
      <c r="B1208" s="204">
        <v>9836</v>
      </c>
      <c r="C1208" s="205" t="s">
        <v>607</v>
      </c>
      <c r="D1208" s="206" t="s">
        <v>268</v>
      </c>
      <c r="E1208" s="207">
        <f>1.01*E1204</f>
        <v>1.01</v>
      </c>
      <c r="F1208" s="208">
        <v>6.83</v>
      </c>
      <c r="G1208" s="210">
        <f t="shared" ref="G1208:G1211" si="155">F1208*E1208</f>
        <v>6.9</v>
      </c>
      <c r="H1208" s="678"/>
      <c r="I1208" s="153"/>
      <c r="J1208" s="41"/>
      <c r="K1208" s="41"/>
      <c r="L1208" s="41"/>
    </row>
    <row r="1209" spans="1:12" ht="23.25" thickBot="1" x14ac:dyDescent="0.3">
      <c r="A1209" s="584"/>
      <c r="B1209" s="211">
        <v>20079</v>
      </c>
      <c r="C1209" s="216" t="s">
        <v>604</v>
      </c>
      <c r="D1209" s="212" t="s">
        <v>268</v>
      </c>
      <c r="E1209" s="213">
        <f>0.0045*E1204</f>
        <v>4.4999999999999997E-3</v>
      </c>
      <c r="F1209" s="214">
        <v>234.66</v>
      </c>
      <c r="G1209" s="215">
        <f t="shared" si="155"/>
        <v>1.06</v>
      </c>
      <c r="H1209" s="677"/>
      <c r="I1209" s="165"/>
      <c r="J1209" s="41"/>
      <c r="K1209" s="41"/>
      <c r="L1209" s="41"/>
    </row>
    <row r="1210" spans="1:12" ht="27.75" customHeight="1" thickBot="1" x14ac:dyDescent="0.3">
      <c r="A1210" s="582" t="s">
        <v>1140</v>
      </c>
      <c r="B1210" s="305">
        <v>72460</v>
      </c>
      <c r="C1210" s="42" t="s">
        <v>624</v>
      </c>
      <c r="D1210" s="43" t="s">
        <v>268</v>
      </c>
      <c r="E1210" s="75">
        <v>1</v>
      </c>
      <c r="F1210" s="30">
        <f>SUM(G1211:G1215)/E1210</f>
        <v>30.44</v>
      </c>
      <c r="G1210" s="45">
        <f t="shared" si="155"/>
        <v>30.44</v>
      </c>
      <c r="H1210" s="58" t="s">
        <v>59</v>
      </c>
      <c r="I1210" s="576">
        <v>30.44</v>
      </c>
      <c r="J1210" s="41"/>
      <c r="K1210" s="41"/>
      <c r="L1210" s="41"/>
    </row>
    <row r="1211" spans="1:12" ht="22.5" x14ac:dyDescent="0.25">
      <c r="A1211" s="583"/>
      <c r="B1211" s="204">
        <v>301</v>
      </c>
      <c r="C1211" s="205" t="s">
        <v>606</v>
      </c>
      <c r="D1211" s="206" t="s">
        <v>268</v>
      </c>
      <c r="E1211" s="207">
        <f>2*E1210</f>
        <v>2</v>
      </c>
      <c r="F1211" s="208">
        <v>1.3</v>
      </c>
      <c r="G1211" s="210">
        <f t="shared" si="155"/>
        <v>2.6</v>
      </c>
      <c r="H1211" s="220">
        <f>I1210-H1213</f>
        <v>15.1</v>
      </c>
      <c r="I1211" s="153"/>
      <c r="J1211" s="41"/>
      <c r="K1211" s="41"/>
      <c r="L1211" s="41"/>
    </row>
    <row r="1212" spans="1:12" ht="22.5" x14ac:dyDescent="0.25">
      <c r="A1212" s="583"/>
      <c r="B1212" s="429">
        <v>88267</v>
      </c>
      <c r="C1212" s="430" t="s">
        <v>755</v>
      </c>
      <c r="D1212" s="431" t="s">
        <v>257</v>
      </c>
      <c r="E1212" s="432">
        <f>0.479*E1210</f>
        <v>0.47899999999999998</v>
      </c>
      <c r="F1212" s="464">
        <v>17.940000000000001</v>
      </c>
      <c r="G1212" s="434">
        <f>F1212*E1212</f>
        <v>8.59</v>
      </c>
      <c r="H1212" s="60" t="s">
        <v>60</v>
      </c>
      <c r="I1212" s="153"/>
      <c r="J1212" s="41"/>
      <c r="K1212" s="41"/>
      <c r="L1212" s="41"/>
    </row>
    <row r="1213" spans="1:12" ht="12" thickBot="1" x14ac:dyDescent="0.3">
      <c r="A1213" s="583"/>
      <c r="B1213" s="429">
        <v>88316</v>
      </c>
      <c r="C1213" s="430" t="s">
        <v>690</v>
      </c>
      <c r="D1213" s="431" t="s">
        <v>257</v>
      </c>
      <c r="E1213" s="432">
        <f>0.48*E1210</f>
        <v>0.48</v>
      </c>
      <c r="F1213" s="464">
        <v>13.56</v>
      </c>
      <c r="G1213" s="434">
        <f>F1213*E1213</f>
        <v>6.51</v>
      </c>
      <c r="H1213" s="221">
        <f>G1211+G1214+G1215</f>
        <v>15.34</v>
      </c>
      <c r="I1213" s="162"/>
      <c r="J1213" s="41"/>
      <c r="K1213" s="41"/>
      <c r="L1213" s="41"/>
    </row>
    <row r="1214" spans="1:12" ht="22.5" x14ac:dyDescent="0.25">
      <c r="A1214" s="583"/>
      <c r="B1214" s="204">
        <v>7091</v>
      </c>
      <c r="C1214" s="205" t="s">
        <v>625</v>
      </c>
      <c r="D1214" s="206" t="s">
        <v>268</v>
      </c>
      <c r="E1214" s="207">
        <f>1*E1210</f>
        <v>1</v>
      </c>
      <c r="F1214" s="208">
        <v>9.18</v>
      </c>
      <c r="G1214" s="210">
        <f t="shared" ref="G1214:G1215" si="156">F1214*E1214</f>
        <v>9.18</v>
      </c>
      <c r="H1214" s="678"/>
      <c r="I1214" s="153"/>
      <c r="J1214" s="41"/>
      <c r="K1214" s="41"/>
      <c r="L1214" s="41"/>
    </row>
    <row r="1215" spans="1:12" ht="23.25" thickBot="1" x14ac:dyDescent="0.3">
      <c r="A1215" s="584"/>
      <c r="B1215" s="211">
        <v>20078</v>
      </c>
      <c r="C1215" s="216" t="s">
        <v>617</v>
      </c>
      <c r="D1215" s="212" t="s">
        <v>268</v>
      </c>
      <c r="E1215" s="213">
        <f>0.14*E1210</f>
        <v>0.14000000000000001</v>
      </c>
      <c r="F1215" s="214">
        <v>25.41</v>
      </c>
      <c r="G1215" s="215">
        <f t="shared" si="156"/>
        <v>3.56</v>
      </c>
      <c r="H1215" s="677"/>
      <c r="I1215" s="165"/>
      <c r="J1215" s="41"/>
      <c r="K1215" s="41"/>
      <c r="L1215" s="41"/>
    </row>
    <row r="1216" spans="1:12" ht="23.25" thickBot="1" x14ac:dyDescent="0.3">
      <c r="A1216" s="582" t="s">
        <v>1141</v>
      </c>
      <c r="B1216" s="306" t="s">
        <v>823</v>
      </c>
      <c r="C1216" s="66" t="s">
        <v>92</v>
      </c>
      <c r="D1216" s="67" t="s">
        <v>269</v>
      </c>
      <c r="E1216" s="108">
        <v>1</v>
      </c>
      <c r="F1216" s="30">
        <f>SUM(G1217:G1223)/E1216</f>
        <v>157.43</v>
      </c>
      <c r="G1216" s="45">
        <f>F1216*E1216</f>
        <v>157.43</v>
      </c>
      <c r="H1216" s="58" t="s">
        <v>59</v>
      </c>
      <c r="I1216" s="661">
        <f>H1217+H1219</f>
        <v>157.43</v>
      </c>
      <c r="J1216" s="41"/>
      <c r="K1216" s="41"/>
      <c r="L1216" s="41"/>
    </row>
    <row r="1217" spans="1:12" x14ac:dyDescent="0.25">
      <c r="A1217" s="583"/>
      <c r="B1217" s="222">
        <v>370</v>
      </c>
      <c r="C1217" s="223" t="s">
        <v>258</v>
      </c>
      <c r="D1217" s="224" t="s">
        <v>245</v>
      </c>
      <c r="E1217" s="325">
        <f>0.11*E1216</f>
        <v>0.11</v>
      </c>
      <c r="F1217" s="226">
        <v>72</v>
      </c>
      <c r="G1217" s="227">
        <f t="shared" ref="G1217:G1223" si="157">F1217*E1217</f>
        <v>7.92</v>
      </c>
      <c r="H1217" s="402">
        <f>(G1220+G1221)/E1216</f>
        <v>75.209999999999994</v>
      </c>
      <c r="I1217" s="166"/>
      <c r="J1217" s="41"/>
      <c r="K1217" s="41"/>
      <c r="L1217" s="41"/>
    </row>
    <row r="1218" spans="1:12" x14ac:dyDescent="0.25">
      <c r="A1218" s="583"/>
      <c r="B1218" s="204">
        <v>1379</v>
      </c>
      <c r="C1218" s="205" t="s">
        <v>259</v>
      </c>
      <c r="D1218" s="224" t="s">
        <v>271</v>
      </c>
      <c r="E1218" s="325">
        <f>0.75*E1216*50</f>
        <v>37.5</v>
      </c>
      <c r="F1218" s="226">
        <v>0.49</v>
      </c>
      <c r="G1218" s="227">
        <f t="shared" si="157"/>
        <v>18.38</v>
      </c>
      <c r="H1218" s="60" t="s">
        <v>60</v>
      </c>
      <c r="I1218" s="166"/>
      <c r="J1218" s="41"/>
      <c r="K1218" s="41"/>
      <c r="L1218" s="41"/>
    </row>
    <row r="1219" spans="1:12" ht="12" thickBot="1" x14ac:dyDescent="0.3">
      <c r="A1219" s="583"/>
      <c r="B1219" s="222">
        <v>4721</v>
      </c>
      <c r="C1219" s="223" t="s">
        <v>284</v>
      </c>
      <c r="D1219" s="224" t="s">
        <v>245</v>
      </c>
      <c r="E1219" s="325">
        <f>0.056*E1216</f>
        <v>5.6000000000000001E-2</v>
      </c>
      <c r="F1219" s="226">
        <v>85.99</v>
      </c>
      <c r="G1219" s="227">
        <f t="shared" si="157"/>
        <v>4.82</v>
      </c>
      <c r="H1219" s="221">
        <f>F1216-H1217</f>
        <v>82.22</v>
      </c>
      <c r="I1219" s="166"/>
      <c r="J1219" s="41"/>
      <c r="K1219" s="41"/>
      <c r="L1219" s="41"/>
    </row>
    <row r="1220" spans="1:12" x14ac:dyDescent="0.25">
      <c r="A1220" s="583"/>
      <c r="B1220" s="762">
        <v>4750</v>
      </c>
      <c r="C1220" s="547" t="s">
        <v>261</v>
      </c>
      <c r="D1220" s="739" t="s">
        <v>281</v>
      </c>
      <c r="E1220" s="796">
        <f>2*E1216</f>
        <v>2</v>
      </c>
      <c r="F1220" s="464">
        <v>14.79</v>
      </c>
      <c r="G1220" s="741">
        <f t="shared" si="157"/>
        <v>29.58</v>
      </c>
      <c r="H1220" s="684"/>
      <c r="I1220" s="166"/>
      <c r="J1220" s="41"/>
      <c r="K1220" s="41"/>
      <c r="L1220" s="41"/>
    </row>
    <row r="1221" spans="1:12" x14ac:dyDescent="0.25">
      <c r="A1221" s="583"/>
      <c r="B1221" s="762">
        <v>6111</v>
      </c>
      <c r="C1221" s="547" t="s">
        <v>274</v>
      </c>
      <c r="D1221" s="739" t="s">
        <v>281</v>
      </c>
      <c r="E1221" s="796">
        <f>4.35*E1216</f>
        <v>4.3499999999999996</v>
      </c>
      <c r="F1221" s="464">
        <v>10.49</v>
      </c>
      <c r="G1221" s="741">
        <f t="shared" si="157"/>
        <v>45.63</v>
      </c>
      <c r="H1221" s="684"/>
      <c r="I1221" s="166"/>
      <c r="J1221" s="41"/>
      <c r="K1221" s="41"/>
      <c r="L1221" s="41"/>
    </row>
    <row r="1222" spans="1:12" x14ac:dyDescent="0.25">
      <c r="A1222" s="583"/>
      <c r="B1222" s="222">
        <v>7271</v>
      </c>
      <c r="C1222" s="223" t="s">
        <v>321</v>
      </c>
      <c r="D1222" s="224" t="s">
        <v>269</v>
      </c>
      <c r="E1222" s="325">
        <f>42*E1216</f>
        <v>42</v>
      </c>
      <c r="F1222" s="226">
        <v>0.49</v>
      </c>
      <c r="G1222" s="227">
        <f t="shared" si="157"/>
        <v>20.58</v>
      </c>
      <c r="H1222" s="684"/>
      <c r="I1222" s="166"/>
      <c r="J1222" s="41"/>
      <c r="K1222" s="41"/>
      <c r="L1222" s="41"/>
    </row>
    <row r="1223" spans="1:12" ht="12" thickBot="1" x14ac:dyDescent="0.25">
      <c r="A1223" s="584"/>
      <c r="B1223" s="278" t="s">
        <v>16</v>
      </c>
      <c r="C1223" s="279" t="s">
        <v>327</v>
      </c>
      <c r="D1223" s="280" t="s">
        <v>218</v>
      </c>
      <c r="E1223" s="322">
        <f>0.4*E1216</f>
        <v>0.4</v>
      </c>
      <c r="F1223" s="282">
        <f>70*1.09</f>
        <v>76.3</v>
      </c>
      <c r="G1223" s="283">
        <f t="shared" si="157"/>
        <v>30.52</v>
      </c>
      <c r="H1223" s="702"/>
      <c r="I1223" s="152"/>
      <c r="J1223" s="41"/>
      <c r="K1223" s="41"/>
      <c r="L1223" s="41"/>
    </row>
    <row r="1224" spans="1:12" ht="57" thickBot="1" x14ac:dyDescent="0.3">
      <c r="A1224" s="582" t="s">
        <v>1142</v>
      </c>
      <c r="B1224" s="305" t="s">
        <v>826</v>
      </c>
      <c r="C1224" s="406" t="s">
        <v>824</v>
      </c>
      <c r="D1224" s="43" t="s">
        <v>269</v>
      </c>
      <c r="E1224" s="44">
        <v>1</v>
      </c>
      <c r="F1224" s="30">
        <f>SUM(G1225:G1229)/E1224</f>
        <v>11541.21</v>
      </c>
      <c r="G1224" s="45">
        <f>F1224*E1224</f>
        <v>11541.21</v>
      </c>
      <c r="H1224" s="73"/>
      <c r="I1224" s="153"/>
      <c r="J1224" s="41"/>
      <c r="K1224" s="41"/>
      <c r="L1224" s="41"/>
    </row>
    <row r="1225" spans="1:12" ht="12" thickBot="1" x14ac:dyDescent="0.3">
      <c r="A1225" s="583"/>
      <c r="B1225" s="142">
        <v>4750</v>
      </c>
      <c r="C1225" s="137" t="s">
        <v>261</v>
      </c>
      <c r="D1225" s="138" t="s">
        <v>257</v>
      </c>
      <c r="E1225" s="203">
        <f>12.915*E1224</f>
        <v>12.914999999999999</v>
      </c>
      <c r="F1225" s="201">
        <v>14.79</v>
      </c>
      <c r="G1225" s="143">
        <f t="shared" ref="G1225:G1228" si="158">F1225*E1225</f>
        <v>191.01</v>
      </c>
      <c r="H1225" s="58" t="s">
        <v>59</v>
      </c>
      <c r="I1225" s="482">
        <f>H1226+H1229</f>
        <v>11541.21</v>
      </c>
      <c r="J1225" s="41"/>
      <c r="K1225" s="41"/>
      <c r="L1225" s="41"/>
    </row>
    <row r="1226" spans="1:12" x14ac:dyDescent="0.25">
      <c r="A1226" s="583"/>
      <c r="B1226" s="142">
        <v>6111</v>
      </c>
      <c r="C1226" s="137" t="s">
        <v>274</v>
      </c>
      <c r="D1226" s="138" t="s">
        <v>257</v>
      </c>
      <c r="E1226" s="203">
        <f>20*E1224</f>
        <v>20</v>
      </c>
      <c r="F1226" s="201">
        <v>10.49</v>
      </c>
      <c r="G1226" s="143">
        <f t="shared" si="158"/>
        <v>209.8</v>
      </c>
      <c r="H1226" s="220">
        <f>(G1225+G1226+G1227+G1228)/E1224</f>
        <v>981.61</v>
      </c>
      <c r="J1226" s="41"/>
      <c r="K1226" s="41"/>
      <c r="L1226" s="41"/>
    </row>
    <row r="1227" spans="1:12" x14ac:dyDescent="0.25">
      <c r="A1227" s="583"/>
      <c r="B1227" s="142">
        <v>4752</v>
      </c>
      <c r="C1227" s="137" t="s">
        <v>808</v>
      </c>
      <c r="D1227" s="138" t="s">
        <v>257</v>
      </c>
      <c r="E1227" s="203">
        <v>30</v>
      </c>
      <c r="F1227" s="201">
        <v>14.41</v>
      </c>
      <c r="G1227" s="143">
        <f t="shared" si="158"/>
        <v>432.3</v>
      </c>
      <c r="H1227" s="220"/>
      <c r="J1227" s="41"/>
      <c r="K1227" s="41"/>
      <c r="L1227" s="41"/>
    </row>
    <row r="1228" spans="1:12" x14ac:dyDescent="0.25">
      <c r="A1228" s="583"/>
      <c r="B1228" s="142">
        <v>2696</v>
      </c>
      <c r="C1228" s="137" t="s">
        <v>260</v>
      </c>
      <c r="D1228" s="138" t="s">
        <v>257</v>
      </c>
      <c r="E1228" s="139">
        <v>10</v>
      </c>
      <c r="F1228" s="140">
        <v>14.85</v>
      </c>
      <c r="G1228" s="198">
        <f t="shared" si="158"/>
        <v>148.5</v>
      </c>
      <c r="H1228" s="60" t="s">
        <v>60</v>
      </c>
      <c r="J1228" s="41"/>
      <c r="K1228" s="41"/>
      <c r="L1228" s="41"/>
    </row>
    <row r="1229" spans="1:12" ht="57" thickBot="1" x14ac:dyDescent="0.3">
      <c r="A1229" s="584"/>
      <c r="B1229" s="395" t="s">
        <v>16</v>
      </c>
      <c r="C1229" s="396" t="s">
        <v>824</v>
      </c>
      <c r="D1229" s="397" t="s">
        <v>269</v>
      </c>
      <c r="E1229" s="398">
        <v>1</v>
      </c>
      <c r="F1229" s="399">
        <v>10559.6</v>
      </c>
      <c r="G1229" s="393">
        <f>E1229*F1229</f>
        <v>10559.6</v>
      </c>
      <c r="H1229" s="221">
        <f>F1224-H1226</f>
        <v>10559.6</v>
      </c>
      <c r="J1229" s="41"/>
      <c r="K1229" s="41"/>
      <c r="L1229" s="41"/>
    </row>
    <row r="1230" spans="1:12" ht="45.75" thickBot="1" x14ac:dyDescent="0.3">
      <c r="A1230" s="582" t="s">
        <v>1143</v>
      </c>
      <c r="B1230" s="307" t="s">
        <v>827</v>
      </c>
      <c r="C1230" s="27" t="s">
        <v>825</v>
      </c>
      <c r="D1230" s="43" t="s">
        <v>269</v>
      </c>
      <c r="E1230" s="44">
        <v>1</v>
      </c>
      <c r="F1230" s="30">
        <f>SUM(G1231:G1235)/E1230</f>
        <v>3446.2</v>
      </c>
      <c r="G1230" s="45">
        <f t="shared" ref="G1230:G1235" si="159">F1230*E1230</f>
        <v>3446.2</v>
      </c>
      <c r="H1230" s="692"/>
    </row>
    <row r="1231" spans="1:12" ht="12" thickBot="1" x14ac:dyDescent="0.3">
      <c r="A1231" s="583"/>
      <c r="B1231" s="32">
        <v>73532</v>
      </c>
      <c r="C1231" s="13" t="s">
        <v>829</v>
      </c>
      <c r="D1231" s="14" t="s">
        <v>257</v>
      </c>
      <c r="E1231" s="22">
        <f>4*E1230</f>
        <v>4</v>
      </c>
      <c r="F1231" s="18">
        <v>0.44</v>
      </c>
      <c r="G1231" s="33">
        <f t="shared" si="159"/>
        <v>1.76</v>
      </c>
      <c r="H1231" s="51" t="s">
        <v>59</v>
      </c>
      <c r="I1231" s="482">
        <f>H1232+H1235</f>
        <v>3446.2</v>
      </c>
    </row>
    <row r="1232" spans="1:12" ht="22.5" x14ac:dyDescent="0.25">
      <c r="A1232" s="583"/>
      <c r="B1232" s="32">
        <v>88267</v>
      </c>
      <c r="C1232" s="13" t="s">
        <v>755</v>
      </c>
      <c r="D1232" s="14" t="s">
        <v>257</v>
      </c>
      <c r="E1232" s="22">
        <f>4*E1230</f>
        <v>4</v>
      </c>
      <c r="F1232" s="18">
        <v>17.940000000000001</v>
      </c>
      <c r="G1232" s="33">
        <f t="shared" si="159"/>
        <v>71.760000000000005</v>
      </c>
      <c r="H1232" s="220">
        <f>(G1231+G1232+G1233+G1234)/E1230</f>
        <v>364.3</v>
      </c>
    </row>
    <row r="1233" spans="1:10" x14ac:dyDescent="0.25">
      <c r="A1233" s="583"/>
      <c r="B1233" s="32">
        <v>88276</v>
      </c>
      <c r="C1233" s="13" t="s">
        <v>828</v>
      </c>
      <c r="D1233" s="14" t="s">
        <v>257</v>
      </c>
      <c r="E1233" s="22">
        <f>8.261*E1230</f>
        <v>8.2609999999999992</v>
      </c>
      <c r="F1233" s="18">
        <v>21.74</v>
      </c>
      <c r="G1233" s="33">
        <f t="shared" si="159"/>
        <v>179.59</v>
      </c>
      <c r="H1233" s="408"/>
    </row>
    <row r="1234" spans="1:10" x14ac:dyDescent="0.25">
      <c r="A1234" s="583"/>
      <c r="B1234" s="32">
        <v>88316</v>
      </c>
      <c r="C1234" s="13" t="s">
        <v>690</v>
      </c>
      <c r="D1234" s="14" t="s">
        <v>257</v>
      </c>
      <c r="E1234" s="22">
        <f>8.2*E1230</f>
        <v>8.1999999999999993</v>
      </c>
      <c r="F1234" s="18">
        <v>13.56</v>
      </c>
      <c r="G1234" s="33">
        <f t="shared" si="159"/>
        <v>111.19</v>
      </c>
      <c r="H1234" s="409" t="s">
        <v>60</v>
      </c>
    </row>
    <row r="1235" spans="1:10" ht="34.5" thickBot="1" x14ac:dyDescent="0.3">
      <c r="A1235" s="584"/>
      <c r="B1235" s="211" t="s">
        <v>16</v>
      </c>
      <c r="C1235" s="216" t="s">
        <v>830</v>
      </c>
      <c r="D1235" s="212" t="s">
        <v>253</v>
      </c>
      <c r="E1235" s="271">
        <f>1*E1230</f>
        <v>1</v>
      </c>
      <c r="F1235" s="282">
        <v>3081.9</v>
      </c>
      <c r="G1235" s="215">
        <f t="shared" si="159"/>
        <v>3081.9</v>
      </c>
      <c r="H1235" s="221">
        <f>F1230-H1232</f>
        <v>3081.9</v>
      </c>
    </row>
    <row r="1236" spans="1:10" ht="22.5" customHeight="1" thickBot="1" x14ac:dyDescent="0.3">
      <c r="A1236" s="832">
        <v>19</v>
      </c>
      <c r="B1236" s="833"/>
      <c r="C1236" s="357" t="s">
        <v>831</v>
      </c>
      <c r="D1236" s="113"/>
      <c r="E1236" s="114"/>
      <c r="F1236" s="113"/>
      <c r="G1236" s="115"/>
      <c r="H1236" s="703" t="s">
        <v>842</v>
      </c>
      <c r="I1236" s="11" t="s">
        <v>59</v>
      </c>
    </row>
    <row r="1237" spans="1:10" ht="23.25" thickBot="1" x14ac:dyDescent="0.3">
      <c r="A1237" s="582" t="s">
        <v>214</v>
      </c>
      <c r="B1237" s="581" t="s">
        <v>844</v>
      </c>
      <c r="C1237" s="614" t="s">
        <v>832</v>
      </c>
      <c r="D1237" s="615" t="s">
        <v>268</v>
      </c>
      <c r="E1237" s="616">
        <v>1</v>
      </c>
      <c r="F1237" s="617">
        <f>SUM(G1238:G1246)/E1237</f>
        <v>747.64</v>
      </c>
      <c r="G1237" s="618">
        <f t="shared" ref="G1237:G1247" si="160">F1237*E1237</f>
        <v>747.64</v>
      </c>
      <c r="H1237" s="704">
        <f>SUM(H1238:H1246)</f>
        <v>362.76</v>
      </c>
      <c r="I1237" s="667">
        <f>SUM(I1238:I1246)</f>
        <v>384.88</v>
      </c>
      <c r="J1237" s="6"/>
    </row>
    <row r="1238" spans="1:10" ht="22.5" x14ac:dyDescent="0.25">
      <c r="A1238" s="583"/>
      <c r="B1238" s="435">
        <v>5622</v>
      </c>
      <c r="C1238" s="436" t="s">
        <v>834</v>
      </c>
      <c r="D1238" s="437" t="s">
        <v>218</v>
      </c>
      <c r="E1238" s="438">
        <f>0.7*1.2</f>
        <v>0.84</v>
      </c>
      <c r="F1238" s="439">
        <v>4.47</v>
      </c>
      <c r="G1238" s="440">
        <f t="shared" si="160"/>
        <v>3.75</v>
      </c>
      <c r="H1238" s="494"/>
      <c r="I1238" s="668">
        <v>3.75</v>
      </c>
      <c r="J1238" s="6"/>
    </row>
    <row r="1239" spans="1:10" x14ac:dyDescent="0.25">
      <c r="A1239" s="583"/>
      <c r="B1239" s="435" t="s">
        <v>833</v>
      </c>
      <c r="C1239" s="436" t="s">
        <v>835</v>
      </c>
      <c r="D1239" s="437" t="s">
        <v>245</v>
      </c>
      <c r="E1239" s="438">
        <f>E1238*0.05</f>
        <v>4.2000000000000003E-2</v>
      </c>
      <c r="F1239" s="439">
        <v>114.3</v>
      </c>
      <c r="G1239" s="440">
        <f t="shared" si="160"/>
        <v>4.8</v>
      </c>
      <c r="H1239" s="236">
        <f>G1239-I1239</f>
        <v>4.2300000000000004</v>
      </c>
      <c r="I1239" s="669">
        <f>13.56*E1239</f>
        <v>0.56999999999999995</v>
      </c>
      <c r="J1239" s="6"/>
    </row>
    <row r="1240" spans="1:10" ht="22.5" x14ac:dyDescent="0.25">
      <c r="A1240" s="583"/>
      <c r="B1240" s="441">
        <v>84214</v>
      </c>
      <c r="C1240" s="442" t="s">
        <v>836</v>
      </c>
      <c r="D1240" s="437" t="s">
        <v>218</v>
      </c>
      <c r="E1240" s="438">
        <f>(0.7*2+1.2)*0.15+1.3*0.75+(0.15+0.1)/2*0.75*2+1.3*0.1</f>
        <v>1.6825000000000001</v>
      </c>
      <c r="F1240" s="439">
        <v>45.53</v>
      </c>
      <c r="G1240" s="440">
        <f t="shared" si="160"/>
        <v>76.599999999999994</v>
      </c>
      <c r="H1240" s="407">
        <f>G1240-I1240</f>
        <v>36.6</v>
      </c>
      <c r="I1240" s="669">
        <v>40</v>
      </c>
      <c r="J1240" s="6"/>
    </row>
    <row r="1241" spans="1:10" ht="22.5" x14ac:dyDescent="0.25">
      <c r="A1241" s="583"/>
      <c r="B1241" s="441" t="s">
        <v>227</v>
      </c>
      <c r="C1241" s="442" t="s">
        <v>837</v>
      </c>
      <c r="D1241" s="437" t="s">
        <v>271</v>
      </c>
      <c r="E1241" s="438">
        <f>0.248*80</f>
        <v>19.84</v>
      </c>
      <c r="F1241" s="439">
        <v>8.01</v>
      </c>
      <c r="G1241" s="440">
        <f t="shared" si="160"/>
        <v>158.91999999999999</v>
      </c>
      <c r="H1241" s="407">
        <f>G1241-I1241</f>
        <v>94.24</v>
      </c>
      <c r="I1241" s="669">
        <f>3.26*E1241</f>
        <v>64.680000000000007</v>
      </c>
      <c r="J1241" s="6"/>
    </row>
    <row r="1242" spans="1:10" ht="21.75" customHeight="1" x14ac:dyDescent="0.25">
      <c r="A1242" s="583"/>
      <c r="B1242" s="441" t="s">
        <v>224</v>
      </c>
      <c r="C1242" s="442" t="s">
        <v>839</v>
      </c>
      <c r="D1242" s="437" t="s">
        <v>245</v>
      </c>
      <c r="E1242" s="438">
        <v>0.248</v>
      </c>
      <c r="F1242" s="439">
        <v>397.42</v>
      </c>
      <c r="G1242" s="440">
        <f t="shared" si="160"/>
        <v>98.56</v>
      </c>
      <c r="H1242" s="407">
        <f>G1242-I1242</f>
        <v>81.510000000000005</v>
      </c>
      <c r="I1242" s="669">
        <v>17.05</v>
      </c>
      <c r="J1242" s="6"/>
    </row>
    <row r="1243" spans="1:10" ht="22.5" customHeight="1" x14ac:dyDescent="0.25">
      <c r="A1243" s="583"/>
      <c r="B1243" s="441" t="s">
        <v>10</v>
      </c>
      <c r="C1243" s="442" t="s">
        <v>722</v>
      </c>
      <c r="D1243" s="437" t="s">
        <v>245</v>
      </c>
      <c r="E1243" s="438">
        <v>0.248</v>
      </c>
      <c r="F1243" s="439">
        <v>90.74</v>
      </c>
      <c r="G1243" s="440">
        <f t="shared" si="160"/>
        <v>22.5</v>
      </c>
      <c r="H1243" s="407">
        <v>0</v>
      </c>
      <c r="I1243" s="669">
        <v>22.5</v>
      </c>
      <c r="J1243" s="6"/>
    </row>
    <row r="1244" spans="1:10" ht="22.5" x14ac:dyDescent="0.25">
      <c r="A1244" s="583"/>
      <c r="B1244" s="441">
        <v>72131</v>
      </c>
      <c r="C1244" s="442" t="s">
        <v>838</v>
      </c>
      <c r="D1244" s="437" t="s">
        <v>218</v>
      </c>
      <c r="E1244" s="438">
        <v>1.92</v>
      </c>
      <c r="F1244" s="439">
        <v>96.22</v>
      </c>
      <c r="G1244" s="440">
        <f t="shared" si="160"/>
        <v>184.74</v>
      </c>
      <c r="H1244" s="407">
        <f>G1244-I1244</f>
        <v>85.24</v>
      </c>
      <c r="I1244" s="669">
        <v>99.5</v>
      </c>
      <c r="J1244" s="6"/>
    </row>
    <row r="1245" spans="1:10" ht="22.5" x14ac:dyDescent="0.25">
      <c r="A1245" s="583"/>
      <c r="B1245" s="441">
        <v>87905</v>
      </c>
      <c r="C1245" s="442" t="s">
        <v>840</v>
      </c>
      <c r="D1245" s="443" t="s">
        <v>218</v>
      </c>
      <c r="E1245" s="438">
        <f>(1.2+0.7*2+0.6*2)*0.8+1.68</f>
        <v>4.72</v>
      </c>
      <c r="F1245" s="439">
        <v>5.93</v>
      </c>
      <c r="G1245" s="440">
        <f t="shared" si="160"/>
        <v>27.99</v>
      </c>
      <c r="H1245" s="407">
        <f t="shared" ref="H1245:H1246" si="161">G1245-I1245</f>
        <v>6.75</v>
      </c>
      <c r="I1245" s="669">
        <f>4.5*4.72</f>
        <v>21.24</v>
      </c>
      <c r="J1245" s="6"/>
    </row>
    <row r="1246" spans="1:10" ht="23.25" thickBot="1" x14ac:dyDescent="0.3">
      <c r="A1246" s="584"/>
      <c r="B1246" s="444">
        <v>87775</v>
      </c>
      <c r="C1246" s="445" t="s">
        <v>841</v>
      </c>
      <c r="D1246" s="446" t="s">
        <v>218</v>
      </c>
      <c r="E1246" s="447">
        <v>4.72</v>
      </c>
      <c r="F1246" s="448">
        <v>35.97</v>
      </c>
      <c r="G1246" s="449">
        <f t="shared" si="160"/>
        <v>169.78</v>
      </c>
      <c r="H1246" s="705">
        <f t="shared" si="161"/>
        <v>54.19</v>
      </c>
      <c r="I1246" s="670">
        <f>24.49*4.72</f>
        <v>115.59</v>
      </c>
      <c r="J1246" s="6"/>
    </row>
    <row r="1247" spans="1:10" ht="16.5" customHeight="1" thickBot="1" x14ac:dyDescent="0.3">
      <c r="A1247" s="582" t="s">
        <v>331</v>
      </c>
      <c r="B1247" s="307" t="s">
        <v>845</v>
      </c>
      <c r="C1247" s="27" t="s">
        <v>843</v>
      </c>
      <c r="D1247" s="28"/>
      <c r="E1247" s="134">
        <v>1</v>
      </c>
      <c r="F1247" s="30">
        <f>SUM(G1248:G1251)/E1247</f>
        <v>102.41</v>
      </c>
      <c r="G1247" s="45">
        <f t="shared" si="160"/>
        <v>102.41</v>
      </c>
      <c r="H1247" s="58" t="s">
        <v>59</v>
      </c>
      <c r="I1247" s="482">
        <f>H1248+H1250</f>
        <v>102.41</v>
      </c>
    </row>
    <row r="1248" spans="1:10" ht="22.5" x14ac:dyDescent="0.25">
      <c r="A1248" s="583"/>
      <c r="B1248" s="429">
        <v>88267</v>
      </c>
      <c r="C1248" s="430" t="s">
        <v>755</v>
      </c>
      <c r="D1248" s="431" t="s">
        <v>257</v>
      </c>
      <c r="E1248" s="432">
        <f>0.593*E1247</f>
        <v>0.59299999999999997</v>
      </c>
      <c r="F1248" s="433">
        <v>17.940000000000001</v>
      </c>
      <c r="G1248" s="434">
        <f>F1248*E1248</f>
        <v>10.64</v>
      </c>
      <c r="H1248" s="59">
        <f>(G1248+G1249)/E1247</f>
        <v>18.989999999999998</v>
      </c>
    </row>
    <row r="1249" spans="1:10" x14ac:dyDescent="0.25">
      <c r="A1249" s="583"/>
      <c r="B1249" s="429">
        <v>88316</v>
      </c>
      <c r="C1249" s="430" t="s">
        <v>690</v>
      </c>
      <c r="D1249" s="431" t="s">
        <v>257</v>
      </c>
      <c r="E1249" s="432">
        <f>0.59*E1247</f>
        <v>0.59</v>
      </c>
      <c r="F1249" s="433">
        <v>14.16</v>
      </c>
      <c r="G1249" s="434">
        <f>F1249*E1249</f>
        <v>8.35</v>
      </c>
      <c r="H1249" s="60" t="s">
        <v>60</v>
      </c>
    </row>
    <row r="1250" spans="1:10" ht="12" thickBot="1" x14ac:dyDescent="0.3">
      <c r="A1250" s="583"/>
      <c r="B1250" s="204">
        <v>20260</v>
      </c>
      <c r="C1250" s="424" t="s">
        <v>846</v>
      </c>
      <c r="D1250" s="206" t="s">
        <v>15</v>
      </c>
      <c r="E1250" s="241">
        <f>10*E1247</f>
        <v>10</v>
      </c>
      <c r="F1250" s="208">
        <v>5.72</v>
      </c>
      <c r="G1250" s="210">
        <f>F1250*E1250</f>
        <v>57.2</v>
      </c>
      <c r="H1250" s="61">
        <f>F1247-H1248</f>
        <v>83.42</v>
      </c>
    </row>
    <row r="1251" spans="1:10" ht="22.5" customHeight="1" thickBot="1" x14ac:dyDescent="0.25">
      <c r="A1251" s="584"/>
      <c r="B1251" s="204">
        <v>11756</v>
      </c>
      <c r="C1251" s="205" t="s">
        <v>847</v>
      </c>
      <c r="D1251" s="224" t="s">
        <v>269</v>
      </c>
      <c r="E1251" s="241">
        <f>2*E1247</f>
        <v>2</v>
      </c>
      <c r="F1251" s="208">
        <v>13.11</v>
      </c>
      <c r="G1251" s="210">
        <f>F1251*E1251</f>
        <v>26.22</v>
      </c>
      <c r="H1251" s="706"/>
    </row>
    <row r="1252" spans="1:10" ht="23.25" customHeight="1" thickBot="1" x14ac:dyDescent="0.3">
      <c r="A1252" s="832">
        <v>20</v>
      </c>
      <c r="B1252" s="833"/>
      <c r="C1252" s="357" t="s">
        <v>849</v>
      </c>
      <c r="D1252" s="113"/>
      <c r="E1252" s="114"/>
      <c r="F1252" s="113"/>
      <c r="G1252" s="115"/>
      <c r="H1252" s="51" t="s">
        <v>60</v>
      </c>
      <c r="I1252" s="671" t="s">
        <v>59</v>
      </c>
    </row>
    <row r="1253" spans="1:10" ht="34.5" customHeight="1" x14ac:dyDescent="0.25">
      <c r="A1253" s="582" t="s">
        <v>333</v>
      </c>
      <c r="B1253" s="585" t="s">
        <v>852</v>
      </c>
      <c r="C1253" s="619" t="s">
        <v>850</v>
      </c>
      <c r="D1253" s="615" t="s">
        <v>269</v>
      </c>
      <c r="E1253" s="616">
        <v>1</v>
      </c>
      <c r="F1253" s="617">
        <f>SUM(G1254:G1257)/E1253</f>
        <v>4030.26</v>
      </c>
      <c r="G1253" s="620">
        <f>F1253*E1253</f>
        <v>4030.26</v>
      </c>
      <c r="H1253" s="217">
        <f>SUM(H1254:H1257)</f>
        <v>2499.39</v>
      </c>
      <c r="I1253" s="672">
        <f>SUM(I1254:I1257)</f>
        <v>1530.87</v>
      </c>
    </row>
    <row r="1254" spans="1:10" ht="34.5" customHeight="1" x14ac:dyDescent="0.25">
      <c r="A1254" s="583"/>
      <c r="B1254" s="461">
        <v>84217</v>
      </c>
      <c r="C1254" s="565" t="s">
        <v>860</v>
      </c>
      <c r="D1254" s="425" t="s">
        <v>218</v>
      </c>
      <c r="E1254" s="426">
        <f>13+4*5.6+13*0.1</f>
        <v>36.700000000000003</v>
      </c>
      <c r="F1254" s="427">
        <v>48.79</v>
      </c>
      <c r="G1254" s="452">
        <f>F1254*E1254</f>
        <v>1790.59</v>
      </c>
      <c r="H1254" s="93">
        <f>G1254-I1254</f>
        <v>918.03</v>
      </c>
      <c r="I1254" s="673">
        <v>872.56</v>
      </c>
    </row>
    <row r="1255" spans="1:10" ht="24" customHeight="1" x14ac:dyDescent="0.25">
      <c r="A1255" s="583"/>
      <c r="B1255" s="461" t="s">
        <v>853</v>
      </c>
      <c r="C1255" s="453" t="s">
        <v>352</v>
      </c>
      <c r="D1255" s="425" t="s">
        <v>271</v>
      </c>
      <c r="E1255" s="426">
        <f>((12.84+5.76*4)*1.1+13)*2.2</f>
        <v>115.42959999999999</v>
      </c>
      <c r="F1255" s="454">
        <v>4.34</v>
      </c>
      <c r="G1255" s="452">
        <f>F1255*E1255</f>
        <v>500.96</v>
      </c>
      <c r="H1255" s="93">
        <f>G1255-I1255</f>
        <v>408.62</v>
      </c>
      <c r="I1255" s="673">
        <f>0.8*E1255</f>
        <v>92.34</v>
      </c>
    </row>
    <row r="1256" spans="1:10" ht="22.5" customHeight="1" x14ac:dyDescent="0.25">
      <c r="A1256" s="583"/>
      <c r="B1256" s="461" t="s">
        <v>390</v>
      </c>
      <c r="C1256" s="453" t="s">
        <v>851</v>
      </c>
      <c r="D1256" s="425" t="s">
        <v>272</v>
      </c>
      <c r="E1256" s="426">
        <f>(9.93-1.8*4)*1+9.93*0.1</f>
        <v>3.7229999999999999</v>
      </c>
      <c r="F1256" s="427">
        <v>365.91</v>
      </c>
      <c r="G1256" s="452">
        <f>F1256*E1256</f>
        <v>1362.28</v>
      </c>
      <c r="H1256" s="93">
        <f>G1256-I1256</f>
        <v>1159.08</v>
      </c>
      <c r="I1256" s="673">
        <f>54.58*E1256</f>
        <v>203.2</v>
      </c>
    </row>
    <row r="1257" spans="1:10" ht="14.25" customHeight="1" thickBot="1" x14ac:dyDescent="0.3">
      <c r="A1257" s="584"/>
      <c r="B1257" s="455">
        <v>40780</v>
      </c>
      <c r="C1257" s="456" t="s">
        <v>1290</v>
      </c>
      <c r="D1257" s="457" t="s">
        <v>218</v>
      </c>
      <c r="E1257" s="458">
        <f>36.7+8.06</f>
        <v>44.76</v>
      </c>
      <c r="F1257" s="459">
        <v>8.41</v>
      </c>
      <c r="G1257" s="460">
        <f>F1257*E1257</f>
        <v>376.43</v>
      </c>
      <c r="H1257" s="707">
        <f>G1257-I1257</f>
        <v>13.66</v>
      </c>
      <c r="I1257" s="674">
        <v>362.77</v>
      </c>
    </row>
    <row r="1258" spans="1:10" ht="21.75" customHeight="1" thickBot="1" x14ac:dyDescent="0.3">
      <c r="A1258" s="582" t="s">
        <v>334</v>
      </c>
      <c r="B1258" s="305" t="s">
        <v>854</v>
      </c>
      <c r="C1258" s="42" t="s">
        <v>94</v>
      </c>
      <c r="D1258" s="43" t="s">
        <v>232</v>
      </c>
      <c r="E1258" s="44">
        <v>12</v>
      </c>
      <c r="F1258" s="30">
        <f>SUM(G1259:G1264)/E1258</f>
        <v>242.21</v>
      </c>
      <c r="G1258" s="45">
        <f t="shared" ref="G1258:G1260" si="162">F1258*E1258</f>
        <v>2906.52</v>
      </c>
      <c r="H1258" s="135" t="s">
        <v>59</v>
      </c>
      <c r="I1258" s="576">
        <f>H1259+H1261</f>
        <v>242.21</v>
      </c>
      <c r="J1258" s="6"/>
    </row>
    <row r="1259" spans="1:10" ht="13.5" customHeight="1" x14ac:dyDescent="0.25">
      <c r="A1259" s="583"/>
      <c r="B1259" s="204" t="s">
        <v>16</v>
      </c>
      <c r="C1259" s="205" t="s">
        <v>97</v>
      </c>
      <c r="D1259" s="206" t="s">
        <v>269</v>
      </c>
      <c r="E1259" s="241">
        <f>2*E1258</f>
        <v>24</v>
      </c>
      <c r="F1259" s="208">
        <v>40</v>
      </c>
      <c r="G1259" s="209">
        <f t="shared" si="162"/>
        <v>960</v>
      </c>
      <c r="H1259" s="345">
        <f>(G1263+G1264)/E1258</f>
        <v>13.21</v>
      </c>
      <c r="I1259" s="153"/>
    </row>
    <row r="1260" spans="1:10" ht="24.75" customHeight="1" x14ac:dyDescent="0.25">
      <c r="A1260" s="583"/>
      <c r="B1260" s="204" t="s">
        <v>16</v>
      </c>
      <c r="C1260" s="205" t="s">
        <v>95</v>
      </c>
      <c r="D1260" s="206" t="s">
        <v>269</v>
      </c>
      <c r="E1260" s="241">
        <v>4</v>
      </c>
      <c r="F1260" s="226">
        <v>52</v>
      </c>
      <c r="G1260" s="209">
        <f t="shared" si="162"/>
        <v>208</v>
      </c>
      <c r="H1260" s="136" t="s">
        <v>60</v>
      </c>
      <c r="I1260" s="153"/>
    </row>
    <row r="1261" spans="1:10" ht="23.25" customHeight="1" thickBot="1" x14ac:dyDescent="0.3">
      <c r="A1261" s="583"/>
      <c r="B1261" s="204" t="s">
        <v>16</v>
      </c>
      <c r="C1261" s="205" t="s">
        <v>96</v>
      </c>
      <c r="D1261" s="206" t="s">
        <v>268</v>
      </c>
      <c r="E1261" s="401">
        <v>4</v>
      </c>
      <c r="F1261" s="226">
        <v>35</v>
      </c>
      <c r="G1261" s="299">
        <f>F1261*E1261</f>
        <v>140</v>
      </c>
      <c r="H1261" s="344">
        <f>F1258-H1259</f>
        <v>229</v>
      </c>
      <c r="I1261" s="153"/>
    </row>
    <row r="1262" spans="1:10" ht="22.5" customHeight="1" x14ac:dyDescent="0.25">
      <c r="A1262" s="583"/>
      <c r="B1262" s="204" t="s">
        <v>16</v>
      </c>
      <c r="C1262" s="205" t="s">
        <v>98</v>
      </c>
      <c r="D1262" s="206" t="s">
        <v>268</v>
      </c>
      <c r="E1262" s="401">
        <v>32</v>
      </c>
      <c r="F1262" s="226">
        <v>45</v>
      </c>
      <c r="G1262" s="299">
        <f>F1262*E1262</f>
        <v>1440</v>
      </c>
      <c r="H1262" s="678"/>
      <c r="I1262" s="153"/>
    </row>
    <row r="1263" spans="1:10" ht="12" customHeight="1" thickBot="1" x14ac:dyDescent="0.3">
      <c r="A1263" s="583"/>
      <c r="B1263" s="429">
        <v>2696</v>
      </c>
      <c r="C1263" s="430" t="s">
        <v>260</v>
      </c>
      <c r="D1263" s="431" t="s">
        <v>257</v>
      </c>
      <c r="E1263" s="432">
        <f>0.5*E1258</f>
        <v>6</v>
      </c>
      <c r="F1263" s="464">
        <v>14.85</v>
      </c>
      <c r="G1263" s="434">
        <f t="shared" ref="G1263:G1274" si="163">F1263*E1263</f>
        <v>89.1</v>
      </c>
      <c r="H1263" s="678"/>
      <c r="I1263" s="153"/>
    </row>
    <row r="1264" spans="1:10" ht="12" customHeight="1" thickBot="1" x14ac:dyDescent="0.3">
      <c r="A1264" s="584"/>
      <c r="B1264" s="465">
        <v>6116</v>
      </c>
      <c r="C1264" s="466" t="s">
        <v>322</v>
      </c>
      <c r="D1264" s="467" t="s">
        <v>257</v>
      </c>
      <c r="E1264" s="468">
        <f>0.5*E1258</f>
        <v>6</v>
      </c>
      <c r="F1264" s="469">
        <v>11.57</v>
      </c>
      <c r="G1264" s="470">
        <f t="shared" si="163"/>
        <v>69.42</v>
      </c>
      <c r="H1264" s="51" t="s">
        <v>60</v>
      </c>
      <c r="I1264" s="671" t="s">
        <v>59</v>
      </c>
    </row>
    <row r="1265" spans="1:10" ht="46.5" customHeight="1" x14ac:dyDescent="0.25">
      <c r="A1265" s="582" t="s">
        <v>335</v>
      </c>
      <c r="B1265" s="307" t="s">
        <v>861</v>
      </c>
      <c r="C1265" s="450" t="s">
        <v>855</v>
      </c>
      <c r="D1265" s="411" t="s">
        <v>269</v>
      </c>
      <c r="E1265" s="471">
        <v>1</v>
      </c>
      <c r="F1265" s="413">
        <f>SUM(G1266:G1270)/E1265</f>
        <v>5435.13</v>
      </c>
      <c r="G1265" s="451">
        <f t="shared" si="163"/>
        <v>5435.13</v>
      </c>
      <c r="H1265" s="708">
        <f>SUM(H1266:H1270)</f>
        <v>3044.59</v>
      </c>
      <c r="I1265" s="675">
        <f>SUM(I1266:I1270)</f>
        <v>2390.54</v>
      </c>
    </row>
    <row r="1266" spans="1:10" ht="49.5" customHeight="1" x14ac:dyDescent="0.25">
      <c r="A1266" s="583"/>
      <c r="B1266" s="461">
        <v>84217</v>
      </c>
      <c r="C1266" s="472" t="s">
        <v>860</v>
      </c>
      <c r="D1266" s="425" t="s">
        <v>218</v>
      </c>
      <c r="E1266" s="426">
        <f>15*0.99+13.8*0.79</f>
        <v>25.751999999999999</v>
      </c>
      <c r="F1266" s="427">
        <v>48.79</v>
      </c>
      <c r="G1266" s="452">
        <f t="shared" si="163"/>
        <v>1256.44</v>
      </c>
      <c r="H1266" s="93">
        <f t="shared" ref="H1266:H1269" si="164">G1266-I1266</f>
        <v>644.05999999999995</v>
      </c>
      <c r="I1266" s="673">
        <f>23.78*E1266</f>
        <v>612.38</v>
      </c>
    </row>
    <row r="1267" spans="1:10" ht="25.5" customHeight="1" x14ac:dyDescent="0.25">
      <c r="A1267" s="583"/>
      <c r="B1267" s="461" t="s">
        <v>350</v>
      </c>
      <c r="C1267" s="453" t="s">
        <v>352</v>
      </c>
      <c r="D1267" s="425" t="s">
        <v>271</v>
      </c>
      <c r="E1267" s="426">
        <f>(14.84+1.2+13.96+1.2)*1*2.2+13.76*2.2</f>
        <v>98.912000000000006</v>
      </c>
      <c r="F1267" s="454">
        <v>4.34</v>
      </c>
      <c r="G1267" s="452">
        <f t="shared" si="163"/>
        <v>429.28</v>
      </c>
      <c r="H1267" s="93">
        <f t="shared" si="164"/>
        <v>350.15</v>
      </c>
      <c r="I1267" s="673">
        <f>0.8*E1267</f>
        <v>79.13</v>
      </c>
    </row>
    <row r="1268" spans="1:10" ht="22.5" customHeight="1" x14ac:dyDescent="0.25">
      <c r="A1268" s="583"/>
      <c r="B1268" s="461" t="s">
        <v>390</v>
      </c>
      <c r="C1268" s="453" t="s">
        <v>857</v>
      </c>
      <c r="D1268" s="425" t="s">
        <v>272</v>
      </c>
      <c r="E1268" s="426">
        <f>(14.06-11.9)*0.79+14.06*0.2</f>
        <v>4.5183999999999997</v>
      </c>
      <c r="F1268" s="427">
        <v>365.91</v>
      </c>
      <c r="G1268" s="452">
        <f t="shared" si="163"/>
        <v>1653.33</v>
      </c>
      <c r="H1268" s="93">
        <f t="shared" si="164"/>
        <v>1406.72</v>
      </c>
      <c r="I1268" s="673">
        <f>54.58*E1268</f>
        <v>246.61</v>
      </c>
    </row>
    <row r="1269" spans="1:10" ht="14.25" customHeight="1" x14ac:dyDescent="0.25">
      <c r="A1269" s="583"/>
      <c r="B1269" s="461">
        <v>40780</v>
      </c>
      <c r="C1269" s="453" t="s">
        <v>859</v>
      </c>
      <c r="D1269" s="425" t="s">
        <v>218</v>
      </c>
      <c r="E1269" s="426">
        <f>15*0.99+13.8*0.79+11.9</f>
        <v>37.652000000000001</v>
      </c>
      <c r="F1269" s="427">
        <v>8.41</v>
      </c>
      <c r="G1269" s="452">
        <f t="shared" si="163"/>
        <v>316.64999999999998</v>
      </c>
      <c r="H1269" s="93">
        <f t="shared" si="164"/>
        <v>11.67</v>
      </c>
      <c r="I1269" s="673">
        <f>8.1*E1269</f>
        <v>304.98</v>
      </c>
    </row>
    <row r="1270" spans="1:10" ht="23.25" customHeight="1" thickBot="1" x14ac:dyDescent="0.3">
      <c r="A1270" s="584"/>
      <c r="B1270" s="455" t="s">
        <v>856</v>
      </c>
      <c r="C1270" s="456" t="s">
        <v>858</v>
      </c>
      <c r="D1270" s="457" t="s">
        <v>218</v>
      </c>
      <c r="E1270" s="458">
        <f>15*0.99+13.8*0.79+11.9</f>
        <v>37.652000000000001</v>
      </c>
      <c r="F1270" s="459">
        <v>47.26</v>
      </c>
      <c r="G1270" s="460">
        <f t="shared" si="163"/>
        <v>1779.43</v>
      </c>
      <c r="H1270" s="709">
        <f>G1270-I1270</f>
        <v>631.99</v>
      </c>
      <c r="I1270" s="676">
        <v>1147.44</v>
      </c>
    </row>
    <row r="1271" spans="1:10" ht="33" customHeight="1" thickBot="1" x14ac:dyDescent="0.3">
      <c r="A1271" s="582" t="s">
        <v>336</v>
      </c>
      <c r="B1271" s="605" t="s">
        <v>863</v>
      </c>
      <c r="C1271" s="474" t="s">
        <v>862</v>
      </c>
      <c r="D1271" s="67" t="s">
        <v>269</v>
      </c>
      <c r="E1271" s="108">
        <v>1</v>
      </c>
      <c r="F1271" s="30">
        <f>SUM(G1272:G1274)/E1271</f>
        <v>2510.91</v>
      </c>
      <c r="G1271" s="45">
        <f t="shared" si="163"/>
        <v>2510.91</v>
      </c>
      <c r="H1271" s="64" t="s">
        <v>59</v>
      </c>
      <c r="I1271" s="473"/>
      <c r="J1271" s="6"/>
    </row>
    <row r="1272" spans="1:10" ht="12" customHeight="1" thickBot="1" x14ac:dyDescent="0.3">
      <c r="A1272" s="583"/>
      <c r="B1272" s="621">
        <v>2696</v>
      </c>
      <c r="C1272" s="430" t="s">
        <v>260</v>
      </c>
      <c r="D1272" s="431" t="s">
        <v>257</v>
      </c>
      <c r="E1272" s="432">
        <f>3.2305*E1271</f>
        <v>3.2305000000000001</v>
      </c>
      <c r="F1272" s="464">
        <v>14.85</v>
      </c>
      <c r="G1272" s="434">
        <f t="shared" si="163"/>
        <v>47.97</v>
      </c>
      <c r="H1272" s="277">
        <f>(G1272+G1273)/E1271</f>
        <v>110.91</v>
      </c>
      <c r="I1272" s="482">
        <f>H1272+H1274</f>
        <v>2510.91</v>
      </c>
    </row>
    <row r="1273" spans="1:10" ht="12" customHeight="1" x14ac:dyDescent="0.25">
      <c r="A1273" s="583"/>
      <c r="B1273" s="621">
        <v>6111</v>
      </c>
      <c r="C1273" s="430" t="s">
        <v>274</v>
      </c>
      <c r="D1273" s="431" t="s">
        <v>257</v>
      </c>
      <c r="E1273" s="432">
        <f>6*E1271</f>
        <v>6</v>
      </c>
      <c r="F1273" s="464">
        <v>10.49</v>
      </c>
      <c r="G1273" s="434">
        <f t="shared" si="163"/>
        <v>62.94</v>
      </c>
      <c r="H1273" s="64" t="s">
        <v>60</v>
      </c>
    </row>
    <row r="1274" spans="1:10" ht="39.75" customHeight="1" thickBot="1" x14ac:dyDescent="0.3">
      <c r="A1274" s="584"/>
      <c r="B1274" s="608" t="s">
        <v>16</v>
      </c>
      <c r="C1274" s="279" t="s">
        <v>862</v>
      </c>
      <c r="D1274" s="280" t="s">
        <v>269</v>
      </c>
      <c r="E1274" s="322">
        <f>1*E1271</f>
        <v>1</v>
      </c>
      <c r="F1274" s="282">
        <v>2400</v>
      </c>
      <c r="G1274" s="283">
        <f t="shared" si="163"/>
        <v>2400</v>
      </c>
      <c r="H1274" s="710">
        <f>F1271-H1272</f>
        <v>2400</v>
      </c>
    </row>
    <row r="1275" spans="1:10" ht="20.25" customHeight="1" thickBot="1" x14ac:dyDescent="0.25">
      <c r="A1275" s="832">
        <v>21</v>
      </c>
      <c r="B1275" s="833"/>
      <c r="C1275" s="357" t="s">
        <v>848</v>
      </c>
      <c r="D1275" s="113"/>
      <c r="E1275" s="114"/>
      <c r="F1275" s="113"/>
      <c r="G1275" s="115"/>
      <c r="H1275" s="105" t="s">
        <v>59</v>
      </c>
      <c r="I1275" s="154"/>
    </row>
    <row r="1276" spans="1:10" ht="45.75" thickBot="1" x14ac:dyDescent="0.3">
      <c r="A1276" s="582" t="s">
        <v>337</v>
      </c>
      <c r="B1276" s="622" t="s">
        <v>99</v>
      </c>
      <c r="C1276" s="78" t="s">
        <v>250</v>
      </c>
      <c r="D1276" s="79" t="s">
        <v>268</v>
      </c>
      <c r="E1276" s="80">
        <v>1</v>
      </c>
      <c r="F1276" s="49">
        <f>SUM(G1277:G1279)/E1276</f>
        <v>113.75</v>
      </c>
      <c r="G1276" s="598">
        <f>F1276*E1276</f>
        <v>113.75</v>
      </c>
      <c r="H1276" s="220">
        <f>(G1277+G1278)/E1276</f>
        <v>15.85</v>
      </c>
      <c r="I1276" s="482">
        <v>113.75</v>
      </c>
    </row>
    <row r="1277" spans="1:10" x14ac:dyDescent="0.25">
      <c r="A1277" s="583"/>
      <c r="B1277" s="479">
        <v>2436</v>
      </c>
      <c r="C1277" s="430" t="s">
        <v>273</v>
      </c>
      <c r="D1277" s="431" t="s">
        <v>257</v>
      </c>
      <c r="E1277" s="432">
        <f>0.645*E1276</f>
        <v>0.64500000000000002</v>
      </c>
      <c r="F1277" s="433">
        <v>14.02</v>
      </c>
      <c r="G1277" s="481">
        <f>E1277*F1277</f>
        <v>9.0399999999999991</v>
      </c>
      <c r="H1277" s="236" t="s">
        <v>9</v>
      </c>
      <c r="I1277" s="154"/>
    </row>
    <row r="1278" spans="1:10" ht="12" thickBot="1" x14ac:dyDescent="0.3">
      <c r="A1278" s="583"/>
      <c r="B1278" s="142">
        <v>6111</v>
      </c>
      <c r="C1278" s="137" t="s">
        <v>274</v>
      </c>
      <c r="D1278" s="431" t="s">
        <v>257</v>
      </c>
      <c r="E1278" s="432">
        <f>0.649*E1276</f>
        <v>0.64900000000000002</v>
      </c>
      <c r="F1278" s="433">
        <v>10.49</v>
      </c>
      <c r="G1278" s="481">
        <f>E1278*F1278</f>
        <v>6.81</v>
      </c>
      <c r="H1278" s="483">
        <f>F1276-H1276</f>
        <v>97.9</v>
      </c>
      <c r="I1278" s="154"/>
    </row>
    <row r="1279" spans="1:10" ht="43.5" customHeight="1" thickBot="1" x14ac:dyDescent="0.3">
      <c r="A1279" s="584"/>
      <c r="B1279" s="480" t="s">
        <v>16</v>
      </c>
      <c r="C1279" s="216" t="s">
        <v>250</v>
      </c>
      <c r="D1279" s="212" t="s">
        <v>268</v>
      </c>
      <c r="E1279" s="271">
        <v>1</v>
      </c>
      <c r="F1279" s="214">
        <v>97.9</v>
      </c>
      <c r="G1279" s="270">
        <f>E1279*F1279</f>
        <v>97.9</v>
      </c>
      <c r="H1279" s="711"/>
    </row>
    <row r="1280" spans="1:10" ht="21" customHeight="1" thickBot="1" x14ac:dyDescent="0.3">
      <c r="A1280" s="582" t="s">
        <v>338</v>
      </c>
      <c r="B1280" s="623">
        <v>72553</v>
      </c>
      <c r="C1280" s="450" t="s">
        <v>864</v>
      </c>
      <c r="D1280" s="411" t="s">
        <v>268</v>
      </c>
      <c r="E1280" s="471">
        <v>1</v>
      </c>
      <c r="F1280" s="413">
        <f>SUM(G1281:G1284)/E1280</f>
        <v>99.57</v>
      </c>
      <c r="G1280" s="451">
        <f t="shared" ref="G1280:G1297" si="165">F1280*E1280</f>
        <v>99.57</v>
      </c>
      <c r="H1280" s="494" t="s">
        <v>8</v>
      </c>
      <c r="I1280" s="482">
        <v>99.57</v>
      </c>
    </row>
    <row r="1281" spans="1:9" ht="22.5" x14ac:dyDescent="0.25">
      <c r="A1281" s="583"/>
      <c r="B1281" s="429">
        <v>88267</v>
      </c>
      <c r="C1281" s="430" t="s">
        <v>755</v>
      </c>
      <c r="D1281" s="431" t="s">
        <v>257</v>
      </c>
      <c r="E1281" s="432">
        <f>0.2995*E1280</f>
        <v>0.29949999999999999</v>
      </c>
      <c r="F1281" s="464">
        <v>17.940000000000001</v>
      </c>
      <c r="G1281" s="481">
        <f>F1281*E1281</f>
        <v>5.37</v>
      </c>
      <c r="H1281" s="347">
        <f>(G1281+G1282)/E1280</f>
        <v>9.44</v>
      </c>
    </row>
    <row r="1282" spans="1:9" x14ac:dyDescent="0.25">
      <c r="A1282" s="583"/>
      <c r="B1282" s="429">
        <v>88316</v>
      </c>
      <c r="C1282" s="430" t="s">
        <v>690</v>
      </c>
      <c r="D1282" s="431" t="s">
        <v>257</v>
      </c>
      <c r="E1282" s="432">
        <f>0.3*E1280</f>
        <v>0.3</v>
      </c>
      <c r="F1282" s="464">
        <v>13.56</v>
      </c>
      <c r="G1282" s="481">
        <f>F1282*E1282</f>
        <v>4.07</v>
      </c>
      <c r="H1282" s="407" t="s">
        <v>9</v>
      </c>
    </row>
    <row r="1283" spans="1:9" ht="23.25" thickBot="1" x14ac:dyDescent="0.3">
      <c r="A1283" s="583"/>
      <c r="B1283" s="484">
        <v>4350</v>
      </c>
      <c r="C1283" s="485" t="s">
        <v>871</v>
      </c>
      <c r="D1283" s="486" t="s">
        <v>269</v>
      </c>
      <c r="E1283" s="487">
        <f>1*E1280</f>
        <v>1</v>
      </c>
      <c r="F1283" s="488">
        <v>0.69</v>
      </c>
      <c r="G1283" s="209">
        <f>F1283*E1283</f>
        <v>0.69</v>
      </c>
      <c r="H1283" s="221">
        <f>F1280-H1281</f>
        <v>90.13</v>
      </c>
      <c r="I1283" s="154"/>
    </row>
    <row r="1284" spans="1:9" ht="23.25" thickBot="1" x14ac:dyDescent="0.3">
      <c r="A1284" s="584"/>
      <c r="B1284" s="489">
        <v>10891</v>
      </c>
      <c r="C1284" s="490" t="s">
        <v>872</v>
      </c>
      <c r="D1284" s="491" t="s">
        <v>268</v>
      </c>
      <c r="E1284" s="492">
        <v>1</v>
      </c>
      <c r="F1284" s="355">
        <v>89.44</v>
      </c>
      <c r="G1284" s="493">
        <f t="shared" si="165"/>
        <v>89.44</v>
      </c>
      <c r="H1284" s="712"/>
    </row>
    <row r="1285" spans="1:9" ht="23.25" thickBot="1" x14ac:dyDescent="0.3">
      <c r="A1285" s="582" t="s">
        <v>339</v>
      </c>
      <c r="B1285" s="625">
        <v>83634</v>
      </c>
      <c r="C1285" s="476" t="s">
        <v>865</v>
      </c>
      <c r="D1285" s="411" t="s">
        <v>268</v>
      </c>
      <c r="E1285" s="471">
        <v>1</v>
      </c>
      <c r="F1285" s="413">
        <f>SUM(G1286:G1288)/E1285</f>
        <v>312.17</v>
      </c>
      <c r="G1285" s="451">
        <f t="shared" si="165"/>
        <v>312.17</v>
      </c>
      <c r="H1285" s="494" t="s">
        <v>8</v>
      </c>
      <c r="I1285" s="482">
        <v>312.17</v>
      </c>
    </row>
    <row r="1286" spans="1:9" x14ac:dyDescent="0.25">
      <c r="A1286" s="583"/>
      <c r="B1286" s="621">
        <v>88309</v>
      </c>
      <c r="C1286" s="430" t="s">
        <v>710</v>
      </c>
      <c r="D1286" s="431" t="s">
        <v>257</v>
      </c>
      <c r="E1286" s="496">
        <f>0.496*E1285</f>
        <v>0.496</v>
      </c>
      <c r="F1286" s="497">
        <v>17.97</v>
      </c>
      <c r="G1286" s="481">
        <f t="shared" si="165"/>
        <v>8.91</v>
      </c>
      <c r="H1286" s="347">
        <f>(G1286+G1287)/E1285</f>
        <v>15.69</v>
      </c>
    </row>
    <row r="1287" spans="1:9" x14ac:dyDescent="0.25">
      <c r="A1287" s="583"/>
      <c r="B1287" s="621">
        <v>88316</v>
      </c>
      <c r="C1287" s="430" t="s">
        <v>690</v>
      </c>
      <c r="D1287" s="431" t="s">
        <v>257</v>
      </c>
      <c r="E1287" s="498">
        <f>0.5*E1285</f>
        <v>0.5</v>
      </c>
      <c r="F1287" s="433">
        <v>13.56</v>
      </c>
      <c r="G1287" s="481">
        <f t="shared" si="165"/>
        <v>6.78</v>
      </c>
      <c r="H1287" s="407" t="s">
        <v>9</v>
      </c>
    </row>
    <row r="1288" spans="1:9" ht="12" thickBot="1" x14ac:dyDescent="0.3">
      <c r="A1288" s="584"/>
      <c r="B1288" s="626">
        <v>10888</v>
      </c>
      <c r="C1288" s="490" t="s">
        <v>873</v>
      </c>
      <c r="D1288" s="491" t="s">
        <v>268</v>
      </c>
      <c r="E1288" s="492">
        <v>1</v>
      </c>
      <c r="F1288" s="355">
        <v>296.48</v>
      </c>
      <c r="G1288" s="495">
        <f t="shared" si="165"/>
        <v>296.48</v>
      </c>
      <c r="H1288" s="221">
        <f>F1285-H1286</f>
        <v>296.48</v>
      </c>
      <c r="I1288" s="154"/>
    </row>
    <row r="1289" spans="1:9" ht="34.5" thickBot="1" x14ac:dyDescent="0.3">
      <c r="A1289" s="582" t="s">
        <v>340</v>
      </c>
      <c r="B1289" s="624" t="s">
        <v>874</v>
      </c>
      <c r="C1289" s="477" t="s">
        <v>866</v>
      </c>
      <c r="D1289" s="411" t="s">
        <v>268</v>
      </c>
      <c r="E1289" s="471">
        <v>1</v>
      </c>
      <c r="F1289" s="413">
        <f>SUM(G1290:G1291)/E1289</f>
        <v>74.930000000000007</v>
      </c>
      <c r="G1289" s="414">
        <f t="shared" si="165"/>
        <v>74.930000000000007</v>
      </c>
      <c r="H1289" s="690"/>
      <c r="I1289" s="482">
        <v>74.930000000000007</v>
      </c>
    </row>
    <row r="1290" spans="1:9" x14ac:dyDescent="0.25">
      <c r="A1290" s="583"/>
      <c r="B1290" s="461">
        <v>6128</v>
      </c>
      <c r="C1290" s="453" t="s">
        <v>867</v>
      </c>
      <c r="D1290" s="425" t="s">
        <v>257</v>
      </c>
      <c r="E1290" s="426">
        <f>E1289*2.377</f>
        <v>2.3769999999999998</v>
      </c>
      <c r="F1290" s="427">
        <v>10.49</v>
      </c>
      <c r="G1290" s="428">
        <f t="shared" si="165"/>
        <v>24.93</v>
      </c>
      <c r="H1290" s="690"/>
    </row>
    <row r="1291" spans="1:9" ht="34.5" thickBot="1" x14ac:dyDescent="0.3">
      <c r="A1291" s="584"/>
      <c r="B1291" s="489" t="s">
        <v>16</v>
      </c>
      <c r="C1291" s="501" t="s">
        <v>868</v>
      </c>
      <c r="D1291" s="491" t="s">
        <v>268</v>
      </c>
      <c r="E1291" s="492">
        <f>E1289*1</f>
        <v>1</v>
      </c>
      <c r="F1291" s="355">
        <v>50</v>
      </c>
      <c r="G1291" s="495">
        <f t="shared" si="165"/>
        <v>50</v>
      </c>
      <c r="H1291" s="690"/>
    </row>
    <row r="1292" spans="1:9" ht="34.5" thickBot="1" x14ac:dyDescent="0.3">
      <c r="A1292" s="582" t="s">
        <v>341</v>
      </c>
      <c r="B1292" s="627" t="s">
        <v>875</v>
      </c>
      <c r="C1292" s="478" t="s">
        <v>869</v>
      </c>
      <c r="D1292" s="411" t="s">
        <v>268</v>
      </c>
      <c r="E1292" s="471">
        <v>1</v>
      </c>
      <c r="F1292" s="413">
        <f>SUM(G1293:G1294)/E1292</f>
        <v>74.930000000000007</v>
      </c>
      <c r="G1292" s="414">
        <f t="shared" si="165"/>
        <v>74.930000000000007</v>
      </c>
      <c r="H1292" s="690"/>
      <c r="I1292" s="482">
        <v>74.930000000000007</v>
      </c>
    </row>
    <row r="1293" spans="1:9" x14ac:dyDescent="0.25">
      <c r="A1293" s="583"/>
      <c r="B1293" s="628">
        <v>6128</v>
      </c>
      <c r="C1293" s="453" t="s">
        <v>867</v>
      </c>
      <c r="D1293" s="425" t="s">
        <v>257</v>
      </c>
      <c r="E1293" s="426">
        <f>E1292*2.377</f>
        <v>2.3769999999999998</v>
      </c>
      <c r="F1293" s="427">
        <v>10.49</v>
      </c>
      <c r="G1293" s="428">
        <f t="shared" si="165"/>
        <v>24.93</v>
      </c>
      <c r="H1293" s="690"/>
    </row>
    <row r="1294" spans="1:9" ht="34.5" thickBot="1" x14ac:dyDescent="0.3">
      <c r="A1294" s="584"/>
      <c r="B1294" s="626" t="s">
        <v>16</v>
      </c>
      <c r="C1294" s="501" t="s">
        <v>868</v>
      </c>
      <c r="D1294" s="491" t="s">
        <v>268</v>
      </c>
      <c r="E1294" s="492">
        <f>E1292*1</f>
        <v>1</v>
      </c>
      <c r="F1294" s="355">
        <v>50</v>
      </c>
      <c r="G1294" s="495">
        <f t="shared" si="165"/>
        <v>50</v>
      </c>
      <c r="H1294" s="690"/>
    </row>
    <row r="1295" spans="1:9" ht="45.75" thickBot="1" x14ac:dyDescent="0.3">
      <c r="A1295" s="582" t="s">
        <v>342</v>
      </c>
      <c r="B1295" s="627" t="s">
        <v>876</v>
      </c>
      <c r="C1295" s="478" t="s">
        <v>870</v>
      </c>
      <c r="D1295" s="411" t="s">
        <v>268</v>
      </c>
      <c r="E1295" s="471">
        <v>1</v>
      </c>
      <c r="F1295" s="413">
        <f>SUM(G1296:G1297)/E1295</f>
        <v>74.930000000000007</v>
      </c>
      <c r="G1295" s="414">
        <f t="shared" si="165"/>
        <v>74.930000000000007</v>
      </c>
      <c r="H1295" s="690"/>
      <c r="I1295" s="482">
        <v>74.930000000000007</v>
      </c>
    </row>
    <row r="1296" spans="1:9" x14ac:dyDescent="0.25">
      <c r="A1296" s="583"/>
      <c r="B1296" s="628">
        <v>6128</v>
      </c>
      <c r="C1296" s="453" t="s">
        <v>867</v>
      </c>
      <c r="D1296" s="425" t="s">
        <v>257</v>
      </c>
      <c r="E1296" s="426">
        <f>E1295*2.377</f>
        <v>2.3769999999999998</v>
      </c>
      <c r="F1296" s="427">
        <v>10.49</v>
      </c>
      <c r="G1296" s="428">
        <f t="shared" si="165"/>
        <v>24.93</v>
      </c>
      <c r="H1296" s="690"/>
    </row>
    <row r="1297" spans="1:9" ht="34.5" thickBot="1" x14ac:dyDescent="0.3">
      <c r="A1297" s="583"/>
      <c r="B1297" s="655" t="s">
        <v>16</v>
      </c>
      <c r="C1297" s="656" t="s">
        <v>868</v>
      </c>
      <c r="D1297" s="486" t="s">
        <v>268</v>
      </c>
      <c r="E1297" s="487">
        <f>E1295*1</f>
        <v>1</v>
      </c>
      <c r="F1297" s="488">
        <v>50</v>
      </c>
      <c r="G1297" s="657">
        <f t="shared" si="165"/>
        <v>50</v>
      </c>
      <c r="H1297" s="713"/>
    </row>
    <row r="1298" spans="1:9" ht="23.25" customHeight="1" thickBot="1" x14ac:dyDescent="0.3">
      <c r="A1298" s="832">
        <v>22</v>
      </c>
      <c r="B1298" s="833"/>
      <c r="C1298" s="822" t="s">
        <v>332</v>
      </c>
      <c r="D1298" s="823"/>
      <c r="E1298" s="823"/>
      <c r="F1298" s="823"/>
      <c r="G1298" s="823"/>
      <c r="H1298" s="824"/>
    </row>
    <row r="1299" spans="1:9" ht="15.75" customHeight="1" thickBot="1" x14ac:dyDescent="0.3">
      <c r="A1299" s="583" t="s">
        <v>215</v>
      </c>
      <c r="B1299" s="581">
        <v>83387</v>
      </c>
      <c r="C1299" s="596" t="s">
        <v>880</v>
      </c>
      <c r="D1299" s="79" t="s">
        <v>232</v>
      </c>
      <c r="E1299" s="87">
        <v>1</v>
      </c>
      <c r="F1299" s="49">
        <f>SUM(G1300:G1302)/E1299</f>
        <v>6.13</v>
      </c>
      <c r="G1299" s="334">
        <f t="shared" ref="G1299:G1318" si="166">E1299*F1299</f>
        <v>6.13</v>
      </c>
      <c r="H1299" s="658">
        <f>I1299-H1301</f>
        <v>4.75</v>
      </c>
      <c r="I1299" s="482">
        <v>6.13</v>
      </c>
    </row>
    <row r="1300" spans="1:9" ht="21.75" customHeight="1" x14ac:dyDescent="0.25">
      <c r="A1300" s="583"/>
      <c r="B1300" s="429">
        <v>88247</v>
      </c>
      <c r="C1300" s="430" t="s">
        <v>877</v>
      </c>
      <c r="D1300" s="431" t="s">
        <v>257</v>
      </c>
      <c r="E1300" s="371">
        <f>0.15*E1299</f>
        <v>0.15</v>
      </c>
      <c r="F1300" s="433">
        <v>13.73</v>
      </c>
      <c r="G1300" s="434">
        <f t="shared" si="166"/>
        <v>2.06</v>
      </c>
      <c r="H1300" s="60" t="s">
        <v>9</v>
      </c>
    </row>
    <row r="1301" spans="1:9" ht="12" customHeight="1" thickBot="1" x14ac:dyDescent="0.3">
      <c r="A1301" s="583"/>
      <c r="B1301" s="204">
        <v>1872</v>
      </c>
      <c r="C1301" s="205" t="s">
        <v>626</v>
      </c>
      <c r="D1301" s="206" t="s">
        <v>269</v>
      </c>
      <c r="E1301" s="207">
        <f>1*E1299</f>
        <v>1</v>
      </c>
      <c r="F1301" s="208">
        <v>1.38</v>
      </c>
      <c r="G1301" s="210">
        <f t="shared" si="166"/>
        <v>1.38</v>
      </c>
      <c r="H1301" s="328">
        <f>G1301</f>
        <v>1.38</v>
      </c>
    </row>
    <row r="1302" spans="1:9" ht="12" customHeight="1" thickBot="1" x14ac:dyDescent="0.25">
      <c r="A1302" s="584"/>
      <c r="B1302" s="429">
        <v>88264</v>
      </c>
      <c r="C1302" s="547" t="s">
        <v>878</v>
      </c>
      <c r="D1302" s="467" t="s">
        <v>257</v>
      </c>
      <c r="E1302" s="803">
        <f>0.15*E1299</f>
        <v>0.15</v>
      </c>
      <c r="F1302" s="469">
        <v>17.920000000000002</v>
      </c>
      <c r="G1302" s="730">
        <f t="shared" si="166"/>
        <v>2.69</v>
      </c>
      <c r="H1302" s="105" t="s">
        <v>8</v>
      </c>
    </row>
    <row r="1303" spans="1:9" ht="16.5" customHeight="1" thickBot="1" x14ac:dyDescent="0.3">
      <c r="A1303" s="582" t="s">
        <v>1144</v>
      </c>
      <c r="B1303" s="305">
        <v>83386</v>
      </c>
      <c r="C1303" s="91" t="s">
        <v>627</v>
      </c>
      <c r="D1303" s="43" t="s">
        <v>232</v>
      </c>
      <c r="E1303" s="75">
        <v>1</v>
      </c>
      <c r="F1303" s="30">
        <f>SUM(G1304:G1306)/E1303</f>
        <v>6.94</v>
      </c>
      <c r="G1303" s="45">
        <f t="shared" si="166"/>
        <v>6.94</v>
      </c>
      <c r="H1303" s="220">
        <f>I1303-H1305</f>
        <v>4.75</v>
      </c>
      <c r="I1303" s="482">
        <v>6.94</v>
      </c>
    </row>
    <row r="1304" spans="1:9" ht="12" customHeight="1" x14ac:dyDescent="0.25">
      <c r="A1304" s="583"/>
      <c r="B1304" s="32">
        <v>88247</v>
      </c>
      <c r="C1304" s="13" t="s">
        <v>877</v>
      </c>
      <c r="D1304" s="14" t="s">
        <v>257</v>
      </c>
      <c r="E1304" s="21">
        <f>0.15*E1303</f>
        <v>0.15</v>
      </c>
      <c r="F1304" s="15">
        <v>13.73</v>
      </c>
      <c r="G1304" s="33">
        <f t="shared" si="166"/>
        <v>2.06</v>
      </c>
      <c r="H1304" s="60" t="s">
        <v>9</v>
      </c>
    </row>
    <row r="1305" spans="1:9" ht="12" customHeight="1" thickBot="1" x14ac:dyDescent="0.3">
      <c r="A1305" s="583"/>
      <c r="B1305" s="204">
        <v>1873</v>
      </c>
      <c r="C1305" s="205" t="s">
        <v>628</v>
      </c>
      <c r="D1305" s="206" t="s">
        <v>269</v>
      </c>
      <c r="E1305" s="207">
        <f>1*E1303</f>
        <v>1</v>
      </c>
      <c r="F1305" s="208">
        <v>2.19</v>
      </c>
      <c r="G1305" s="210">
        <f t="shared" si="166"/>
        <v>2.19</v>
      </c>
      <c r="H1305" s="328">
        <f>G1305</f>
        <v>2.19</v>
      </c>
    </row>
    <row r="1306" spans="1:9" ht="12" customHeight="1" thickBot="1" x14ac:dyDescent="0.25">
      <c r="A1306" s="584"/>
      <c r="B1306" s="32">
        <v>88264</v>
      </c>
      <c r="C1306" s="16" t="s">
        <v>878</v>
      </c>
      <c r="D1306" s="36" t="s">
        <v>257</v>
      </c>
      <c r="E1306" s="37">
        <f>0.15*E1303</f>
        <v>0.15</v>
      </c>
      <c r="F1306" s="72">
        <v>17.920000000000002</v>
      </c>
      <c r="G1306" s="39">
        <f t="shared" si="166"/>
        <v>2.69</v>
      </c>
      <c r="H1306" s="105" t="s">
        <v>8</v>
      </c>
    </row>
    <row r="1307" spans="1:9" ht="25.5" customHeight="1" thickBot="1" x14ac:dyDescent="0.3">
      <c r="A1307" s="582" t="s">
        <v>1145</v>
      </c>
      <c r="B1307" s="305">
        <v>83388</v>
      </c>
      <c r="C1307" s="91" t="s">
        <v>50</v>
      </c>
      <c r="D1307" s="43" t="s">
        <v>232</v>
      </c>
      <c r="E1307" s="75">
        <v>1</v>
      </c>
      <c r="F1307" s="30">
        <f>SUM(G1308:G1310)/E1307</f>
        <v>8.49</v>
      </c>
      <c r="G1307" s="45">
        <f t="shared" si="166"/>
        <v>8.49</v>
      </c>
      <c r="H1307" s="220">
        <f>I1307-H1309</f>
        <v>4.74</v>
      </c>
      <c r="I1307" s="482">
        <v>8.49</v>
      </c>
    </row>
    <row r="1308" spans="1:9" ht="21.75" customHeight="1" x14ac:dyDescent="0.25">
      <c r="A1308" s="583"/>
      <c r="B1308" s="429">
        <v>88247</v>
      </c>
      <c r="C1308" s="430" t="s">
        <v>877</v>
      </c>
      <c r="D1308" s="431" t="s">
        <v>257</v>
      </c>
      <c r="E1308" s="371">
        <f>0.149*E1307</f>
        <v>0.14899999999999999</v>
      </c>
      <c r="F1308" s="433">
        <v>13.73</v>
      </c>
      <c r="G1308" s="434">
        <f t="shared" si="166"/>
        <v>2.0499999999999998</v>
      </c>
      <c r="H1308" s="60" t="s">
        <v>9</v>
      </c>
    </row>
    <row r="1309" spans="1:9" ht="12" customHeight="1" thickBot="1" x14ac:dyDescent="0.3">
      <c r="A1309" s="583"/>
      <c r="B1309" s="429">
        <v>1871</v>
      </c>
      <c r="C1309" s="430" t="s">
        <v>629</v>
      </c>
      <c r="D1309" s="431" t="s">
        <v>269</v>
      </c>
      <c r="E1309" s="371">
        <f>1*E1307</f>
        <v>1</v>
      </c>
      <c r="F1309" s="433">
        <v>3.75</v>
      </c>
      <c r="G1309" s="434">
        <f t="shared" si="166"/>
        <v>3.75</v>
      </c>
      <c r="H1309" s="328">
        <f>G1309</f>
        <v>3.75</v>
      </c>
    </row>
    <row r="1310" spans="1:9" ht="12" customHeight="1" thickBot="1" x14ac:dyDescent="0.25">
      <c r="A1310" s="584"/>
      <c r="B1310" s="429">
        <v>88264</v>
      </c>
      <c r="C1310" s="547" t="s">
        <v>878</v>
      </c>
      <c r="D1310" s="467" t="s">
        <v>257</v>
      </c>
      <c r="E1310" s="803">
        <f>0.15*E1307</f>
        <v>0.15</v>
      </c>
      <c r="F1310" s="469">
        <v>17.920000000000002</v>
      </c>
      <c r="G1310" s="730">
        <f t="shared" si="166"/>
        <v>2.69</v>
      </c>
      <c r="H1310" s="105" t="s">
        <v>8</v>
      </c>
    </row>
    <row r="1311" spans="1:9" ht="27" customHeight="1" thickBot="1" x14ac:dyDescent="0.3">
      <c r="A1311" s="582" t="s">
        <v>1146</v>
      </c>
      <c r="B1311" s="305">
        <v>72934</v>
      </c>
      <c r="C1311" s="91" t="s">
        <v>630</v>
      </c>
      <c r="D1311" s="43" t="s">
        <v>232</v>
      </c>
      <c r="E1311" s="75">
        <v>1</v>
      </c>
      <c r="F1311" s="30">
        <f>SUM(G1312:G1314)/E1311</f>
        <v>4.8499999999999996</v>
      </c>
      <c r="G1311" s="45">
        <f t="shared" si="166"/>
        <v>4.8499999999999996</v>
      </c>
      <c r="H1311" s="220">
        <f>I1311-H1313</f>
        <v>3.8</v>
      </c>
      <c r="I1311" s="482">
        <v>4.8499999999999996</v>
      </c>
    </row>
    <row r="1312" spans="1:9" ht="24" customHeight="1" x14ac:dyDescent="0.25">
      <c r="A1312" s="583"/>
      <c r="B1312" s="32">
        <v>88247</v>
      </c>
      <c r="C1312" s="13" t="s">
        <v>877</v>
      </c>
      <c r="D1312" s="14" t="s">
        <v>257</v>
      </c>
      <c r="E1312" s="21">
        <f>0.12*E1311</f>
        <v>0.12</v>
      </c>
      <c r="F1312" s="15">
        <v>13.73</v>
      </c>
      <c r="G1312" s="33">
        <f t="shared" si="166"/>
        <v>1.65</v>
      </c>
      <c r="H1312" s="60" t="s">
        <v>9</v>
      </c>
    </row>
    <row r="1313" spans="1:9" ht="24" customHeight="1" thickBot="1" x14ac:dyDescent="0.3">
      <c r="A1313" s="583"/>
      <c r="B1313" s="204">
        <v>2689</v>
      </c>
      <c r="C1313" s="205" t="s">
        <v>1292</v>
      </c>
      <c r="D1313" s="206" t="s">
        <v>269</v>
      </c>
      <c r="E1313" s="207">
        <f>1*E1311</f>
        <v>1</v>
      </c>
      <c r="F1313" s="208">
        <v>1.05</v>
      </c>
      <c r="G1313" s="210">
        <f t="shared" si="166"/>
        <v>1.05</v>
      </c>
      <c r="H1313" s="328">
        <f>G1313</f>
        <v>1.05</v>
      </c>
    </row>
    <row r="1314" spans="1:9" ht="12" customHeight="1" thickBot="1" x14ac:dyDescent="0.25">
      <c r="A1314" s="584"/>
      <c r="B1314" s="32">
        <v>88264</v>
      </c>
      <c r="C1314" s="16" t="s">
        <v>878</v>
      </c>
      <c r="D1314" s="36" t="s">
        <v>257</v>
      </c>
      <c r="E1314" s="37">
        <f>0.12*E1311</f>
        <v>0.12</v>
      </c>
      <c r="F1314" s="72">
        <v>17.920000000000002</v>
      </c>
      <c r="G1314" s="39">
        <f t="shared" si="166"/>
        <v>2.15</v>
      </c>
      <c r="H1314" s="105" t="s">
        <v>8</v>
      </c>
    </row>
    <row r="1315" spans="1:9" ht="24" customHeight="1" thickBot="1" x14ac:dyDescent="0.3">
      <c r="A1315" s="582" t="s">
        <v>1147</v>
      </c>
      <c r="B1315" s="305" t="s">
        <v>631</v>
      </c>
      <c r="C1315" s="91" t="s">
        <v>1291</v>
      </c>
      <c r="D1315" s="43" t="s">
        <v>232</v>
      </c>
      <c r="E1315" s="75">
        <v>1</v>
      </c>
      <c r="F1315" s="30">
        <f>SUM(G1316:G1318)/E1315</f>
        <v>22.1</v>
      </c>
      <c r="G1315" s="45">
        <f t="shared" si="166"/>
        <v>22.1</v>
      </c>
      <c r="H1315" s="220">
        <f>I1315-H1317</f>
        <v>15.84</v>
      </c>
      <c r="I1315" s="482">
        <v>22.1</v>
      </c>
    </row>
    <row r="1316" spans="1:9" ht="21.75" customHeight="1" x14ac:dyDescent="0.25">
      <c r="A1316" s="583"/>
      <c r="B1316" s="32">
        <v>88247</v>
      </c>
      <c r="C1316" s="13" t="s">
        <v>877</v>
      </c>
      <c r="D1316" s="14" t="s">
        <v>257</v>
      </c>
      <c r="E1316" s="21">
        <f>0.501*E1315</f>
        <v>0.501</v>
      </c>
      <c r="F1316" s="15">
        <v>13.73</v>
      </c>
      <c r="G1316" s="33">
        <f t="shared" si="166"/>
        <v>6.88</v>
      </c>
      <c r="H1316" s="60" t="s">
        <v>9</v>
      </c>
    </row>
    <row r="1317" spans="1:9" ht="12" customHeight="1" thickBot="1" x14ac:dyDescent="0.3">
      <c r="A1317" s="583"/>
      <c r="B1317" s="204">
        <v>2446</v>
      </c>
      <c r="C1317" s="205" t="s">
        <v>632</v>
      </c>
      <c r="D1317" s="206" t="s">
        <v>269</v>
      </c>
      <c r="E1317" s="207">
        <f>1*E1315</f>
        <v>1</v>
      </c>
      <c r="F1317" s="208">
        <v>6.26</v>
      </c>
      <c r="G1317" s="210">
        <f t="shared" si="166"/>
        <v>6.26</v>
      </c>
      <c r="H1317" s="328">
        <f>G1317</f>
        <v>6.26</v>
      </c>
    </row>
    <row r="1318" spans="1:9" ht="12" customHeight="1" thickBot="1" x14ac:dyDescent="0.25">
      <c r="A1318" s="584"/>
      <c r="B1318" s="34">
        <v>88264</v>
      </c>
      <c r="C1318" s="71" t="s">
        <v>878</v>
      </c>
      <c r="D1318" s="36" t="s">
        <v>257</v>
      </c>
      <c r="E1318" s="37">
        <f>0.5*E1315</f>
        <v>0.5</v>
      </c>
      <c r="F1318" s="72">
        <v>17.920000000000002</v>
      </c>
      <c r="G1318" s="39">
        <f t="shared" si="166"/>
        <v>8.9600000000000009</v>
      </c>
      <c r="H1318" s="706"/>
    </row>
    <row r="1319" spans="1:9" ht="12" customHeight="1" thickBot="1" x14ac:dyDescent="0.25">
      <c r="A1319" s="582" t="s">
        <v>1148</v>
      </c>
      <c r="B1319" s="306" t="s">
        <v>883</v>
      </c>
      <c r="C1319" s="506" t="s">
        <v>881</v>
      </c>
      <c r="D1319" s="411" t="s">
        <v>232</v>
      </c>
      <c r="E1319" s="471">
        <v>1</v>
      </c>
      <c r="F1319" s="413">
        <f>SUM(G1320:G1322)/E1319</f>
        <v>7.1</v>
      </c>
      <c r="G1319" s="414">
        <f>E1319*F1319</f>
        <v>7.1</v>
      </c>
      <c r="H1319" s="105" t="s">
        <v>8</v>
      </c>
      <c r="I1319" s="482">
        <f>H1320+H1322</f>
        <v>7.1</v>
      </c>
    </row>
    <row r="1320" spans="1:9" ht="21.75" customHeight="1" x14ac:dyDescent="0.25">
      <c r="A1320" s="583"/>
      <c r="B1320" s="32">
        <v>88247</v>
      </c>
      <c r="C1320" s="13" t="s">
        <v>877</v>
      </c>
      <c r="D1320" s="14" t="s">
        <v>257</v>
      </c>
      <c r="E1320" s="22">
        <f>0.15*E1319</f>
        <v>0.15</v>
      </c>
      <c r="F1320" s="15">
        <v>13.73</v>
      </c>
      <c r="G1320" s="33">
        <f t="shared" ref="G1320:G1321" si="167">E1320*F1320</f>
        <v>2.06</v>
      </c>
      <c r="H1320" s="220">
        <f>G1320+G1321</f>
        <v>4.75</v>
      </c>
    </row>
    <row r="1321" spans="1:9" ht="12" customHeight="1" x14ac:dyDescent="0.25">
      <c r="A1321" s="583"/>
      <c r="B1321" s="32">
        <v>88264</v>
      </c>
      <c r="C1321" s="16" t="s">
        <v>878</v>
      </c>
      <c r="D1321" s="14" t="s">
        <v>257</v>
      </c>
      <c r="E1321" s="22">
        <f>0.15*E1319</f>
        <v>0.15</v>
      </c>
      <c r="F1321" s="18">
        <v>17.920000000000002</v>
      </c>
      <c r="G1321" s="33">
        <f t="shared" si="167"/>
        <v>2.69</v>
      </c>
      <c r="H1321" s="60" t="s">
        <v>9</v>
      </c>
    </row>
    <row r="1322" spans="1:9" ht="12" customHeight="1" thickBot="1" x14ac:dyDescent="0.3">
      <c r="A1322" s="584"/>
      <c r="B1322" s="489" t="s">
        <v>16</v>
      </c>
      <c r="C1322" s="490" t="s">
        <v>882</v>
      </c>
      <c r="D1322" s="491" t="s">
        <v>269</v>
      </c>
      <c r="E1322" s="492">
        <f>1*E1319</f>
        <v>1</v>
      </c>
      <c r="F1322" s="355">
        <v>2.35</v>
      </c>
      <c r="G1322" s="495">
        <f>F1322*E1322</f>
        <v>2.35</v>
      </c>
      <c r="H1322" s="328">
        <f>G1322</f>
        <v>2.35</v>
      </c>
    </row>
    <row r="1323" spans="1:9" ht="23.25" customHeight="1" thickBot="1" x14ac:dyDescent="0.3">
      <c r="A1323" s="582" t="s">
        <v>1149</v>
      </c>
      <c r="B1323" s="305">
        <v>73613</v>
      </c>
      <c r="C1323" s="98" t="s">
        <v>879</v>
      </c>
      <c r="D1323" s="43" t="s">
        <v>232</v>
      </c>
      <c r="E1323" s="44">
        <v>1</v>
      </c>
      <c r="F1323" s="30">
        <f>SUM(G1324:G1326)/E1323</f>
        <v>11.43</v>
      </c>
      <c r="G1323" s="45">
        <f>E1323*F1323</f>
        <v>11.43</v>
      </c>
      <c r="H1323" s="58" t="s">
        <v>8</v>
      </c>
      <c r="I1323" s="482">
        <v>11.39</v>
      </c>
    </row>
    <row r="1324" spans="1:9" ht="21" customHeight="1" x14ac:dyDescent="0.25">
      <c r="A1324" s="583"/>
      <c r="B1324" s="32">
        <v>88247</v>
      </c>
      <c r="C1324" s="13" t="s">
        <v>877</v>
      </c>
      <c r="D1324" s="14" t="s">
        <v>257</v>
      </c>
      <c r="E1324" s="22">
        <f>0.3*E1323</f>
        <v>0.3</v>
      </c>
      <c r="F1324" s="15">
        <v>13.85</v>
      </c>
      <c r="G1324" s="33">
        <f>F1324*E1324</f>
        <v>4.16</v>
      </c>
      <c r="H1324" s="220">
        <f>(G1324+G1325)</f>
        <v>9.5399999999999991</v>
      </c>
    </row>
    <row r="1325" spans="1:9" ht="12" customHeight="1" x14ac:dyDescent="0.25">
      <c r="A1325" s="583"/>
      <c r="B1325" s="32">
        <v>88264</v>
      </c>
      <c r="C1325" s="16" t="s">
        <v>878</v>
      </c>
      <c r="D1325" s="14" t="s">
        <v>257</v>
      </c>
      <c r="E1325" s="22">
        <f>0.3*E1323</f>
        <v>0.3</v>
      </c>
      <c r="F1325" s="15">
        <v>17.920000000000002</v>
      </c>
      <c r="G1325" s="33">
        <f>F1325*E1325</f>
        <v>5.38</v>
      </c>
      <c r="H1325" s="407" t="s">
        <v>9</v>
      </c>
    </row>
    <row r="1326" spans="1:9" ht="12" customHeight="1" thickBot="1" x14ac:dyDescent="0.3">
      <c r="A1326" s="584"/>
      <c r="B1326" s="211">
        <v>2674</v>
      </c>
      <c r="C1326" s="216" t="s">
        <v>47</v>
      </c>
      <c r="D1326" s="212" t="s">
        <v>232</v>
      </c>
      <c r="E1326" s="271">
        <f>1.1*E1323</f>
        <v>1.1000000000000001</v>
      </c>
      <c r="F1326" s="214">
        <v>1.72</v>
      </c>
      <c r="G1326" s="215">
        <f>F1326*E1326</f>
        <v>1.89</v>
      </c>
      <c r="H1326" s="502">
        <f>G1326</f>
        <v>1.89</v>
      </c>
    </row>
    <row r="1327" spans="1:9" ht="12" customHeight="1" thickBot="1" x14ac:dyDescent="0.3">
      <c r="A1327" s="582" t="s">
        <v>1150</v>
      </c>
      <c r="B1327" s="306" t="s">
        <v>887</v>
      </c>
      <c r="C1327" s="506" t="s">
        <v>884</v>
      </c>
      <c r="D1327" s="411" t="s">
        <v>268</v>
      </c>
      <c r="E1327" s="471">
        <v>1</v>
      </c>
      <c r="F1327" s="413">
        <f>SUM(G1328:G1331)/E1327</f>
        <v>6</v>
      </c>
      <c r="G1327" s="414">
        <f>E1327*F1327</f>
        <v>6</v>
      </c>
      <c r="H1327" s="58" t="s">
        <v>8</v>
      </c>
      <c r="I1327" s="482">
        <f>H1328+H1330</f>
        <v>6</v>
      </c>
    </row>
    <row r="1328" spans="1:9" ht="12" customHeight="1" x14ac:dyDescent="0.25">
      <c r="A1328" s="583"/>
      <c r="B1328" s="507">
        <v>400</v>
      </c>
      <c r="C1328" s="508" t="s">
        <v>885</v>
      </c>
      <c r="D1328" s="509" t="s">
        <v>268</v>
      </c>
      <c r="E1328" s="512">
        <v>1</v>
      </c>
      <c r="F1328" s="510">
        <v>1.28</v>
      </c>
      <c r="G1328" s="511">
        <f>F1328*E1328</f>
        <v>1.28</v>
      </c>
      <c r="H1328" s="220">
        <f>G1329+G1331</f>
        <v>4.4800000000000004</v>
      </c>
    </row>
    <row r="1329" spans="1:9" ht="12" customHeight="1" x14ac:dyDescent="0.25">
      <c r="A1329" s="583"/>
      <c r="B1329" s="435">
        <v>2436</v>
      </c>
      <c r="C1329" s="436" t="s">
        <v>273</v>
      </c>
      <c r="D1329" s="437" t="s">
        <v>257</v>
      </c>
      <c r="E1329" s="513">
        <v>0.17399999999999999</v>
      </c>
      <c r="F1329" s="439">
        <v>14.85</v>
      </c>
      <c r="G1329" s="514">
        <f>F1329*E1329</f>
        <v>2.58</v>
      </c>
      <c r="H1329" s="407" t="s">
        <v>9</v>
      </c>
    </row>
    <row r="1330" spans="1:9" ht="12" customHeight="1" thickBot="1" x14ac:dyDescent="0.3">
      <c r="A1330" s="583"/>
      <c r="B1330" s="507">
        <v>4376</v>
      </c>
      <c r="C1330" s="508" t="s">
        <v>886</v>
      </c>
      <c r="D1330" s="509" t="s">
        <v>268</v>
      </c>
      <c r="E1330" s="512">
        <f>164/82</f>
        <v>2</v>
      </c>
      <c r="F1330" s="510">
        <v>0.12</v>
      </c>
      <c r="G1330" s="511">
        <f>F1330*E1330</f>
        <v>0.24</v>
      </c>
      <c r="H1330" s="502">
        <f>G1328+G1330</f>
        <v>1.52</v>
      </c>
    </row>
    <row r="1331" spans="1:9" ht="12" customHeight="1" thickBot="1" x14ac:dyDescent="0.25">
      <c r="A1331" s="584"/>
      <c r="B1331" s="444">
        <v>6113</v>
      </c>
      <c r="C1331" s="445" t="s">
        <v>328</v>
      </c>
      <c r="D1331" s="446" t="s">
        <v>257</v>
      </c>
      <c r="E1331" s="515">
        <v>0.17399999999999999</v>
      </c>
      <c r="F1331" s="448">
        <v>10.92</v>
      </c>
      <c r="G1331" s="500">
        <f>F1331*E1331</f>
        <v>1.9</v>
      </c>
      <c r="H1331" s="714"/>
    </row>
    <row r="1332" spans="1:9" ht="12" customHeight="1" thickBot="1" x14ac:dyDescent="0.3">
      <c r="A1332" s="582" t="s">
        <v>1151</v>
      </c>
      <c r="B1332" s="306" t="s">
        <v>888</v>
      </c>
      <c r="C1332" s="410" t="s">
        <v>252</v>
      </c>
      <c r="D1332" s="411" t="s">
        <v>268</v>
      </c>
      <c r="E1332" s="412">
        <v>1</v>
      </c>
      <c r="F1332" s="413">
        <f>SUM(G1333:G1335)/E1332</f>
        <v>1.81</v>
      </c>
      <c r="G1332" s="451">
        <f>E1332*F1332</f>
        <v>1.81</v>
      </c>
      <c r="H1332" s="58" t="s">
        <v>8</v>
      </c>
      <c r="I1332" s="482">
        <f>H1333+H1335</f>
        <v>1.81</v>
      </c>
    </row>
    <row r="1333" spans="1:9" ht="12" customHeight="1" x14ac:dyDescent="0.25">
      <c r="A1333" s="583"/>
      <c r="B1333" s="313">
        <v>1891</v>
      </c>
      <c r="C1333" s="314" t="s">
        <v>0</v>
      </c>
      <c r="D1333" s="315" t="s">
        <v>268</v>
      </c>
      <c r="E1333" s="359">
        <f>1*E1332</f>
        <v>1</v>
      </c>
      <c r="F1333" s="517">
        <v>1.06</v>
      </c>
      <c r="G1333" s="360">
        <f>F1333*E1333</f>
        <v>1.06</v>
      </c>
      <c r="H1333" s="220">
        <f>G1334+G1335</f>
        <v>0.75</v>
      </c>
    </row>
    <row r="1334" spans="1:9" ht="12" customHeight="1" x14ac:dyDescent="0.25">
      <c r="A1334" s="583"/>
      <c r="B1334" s="435">
        <v>2436</v>
      </c>
      <c r="C1334" s="436" t="s">
        <v>273</v>
      </c>
      <c r="D1334" s="437" t="s">
        <v>257</v>
      </c>
      <c r="E1334" s="513">
        <v>2.9000000000000001E-2</v>
      </c>
      <c r="F1334" s="439">
        <v>14.85</v>
      </c>
      <c r="G1334" s="514">
        <f>F1334*E1334</f>
        <v>0.43</v>
      </c>
      <c r="H1334" s="407" t="s">
        <v>9</v>
      </c>
    </row>
    <row r="1335" spans="1:9" ht="12" customHeight="1" thickBot="1" x14ac:dyDescent="0.3">
      <c r="A1335" s="584"/>
      <c r="B1335" s="444">
        <v>6113</v>
      </c>
      <c r="C1335" s="445" t="s">
        <v>328</v>
      </c>
      <c r="D1335" s="446" t="s">
        <v>257</v>
      </c>
      <c r="E1335" s="515">
        <v>2.9000000000000001E-2</v>
      </c>
      <c r="F1335" s="448">
        <v>10.92</v>
      </c>
      <c r="G1335" s="500">
        <f>F1335*E1335</f>
        <v>0.32</v>
      </c>
      <c r="H1335" s="502">
        <f>G1333</f>
        <v>1.06</v>
      </c>
    </row>
    <row r="1336" spans="1:9" ht="23.25" customHeight="1" x14ac:dyDescent="0.2">
      <c r="A1336" s="582" t="s">
        <v>1152</v>
      </c>
      <c r="B1336" s="383" t="s">
        <v>889</v>
      </c>
      <c r="C1336" s="518" t="s">
        <v>890</v>
      </c>
      <c r="D1336" s="411" t="s">
        <v>268</v>
      </c>
      <c r="E1336" s="412">
        <v>1</v>
      </c>
      <c r="F1336" s="413">
        <f>SUM(G1337:G1338)/E1336</f>
        <v>48.89</v>
      </c>
      <c r="G1336" s="523">
        <f t="shared" ref="G1336:G1353" si="168">E1336*F1336</f>
        <v>48.89</v>
      </c>
      <c r="H1336" s="714"/>
    </row>
    <row r="1337" spans="1:9" ht="12" customHeight="1" x14ac:dyDescent="0.2">
      <c r="A1337" s="583"/>
      <c r="B1337" s="313">
        <v>2388</v>
      </c>
      <c r="C1337" s="314" t="s">
        <v>891</v>
      </c>
      <c r="D1337" s="315" t="s">
        <v>268</v>
      </c>
      <c r="E1337" s="359">
        <v>1</v>
      </c>
      <c r="F1337" s="517">
        <v>46.66</v>
      </c>
      <c r="G1337" s="349">
        <f t="shared" si="168"/>
        <v>46.66</v>
      </c>
      <c r="H1337" s="714"/>
    </row>
    <row r="1338" spans="1:9" ht="12" customHeight="1" thickBot="1" x14ac:dyDescent="0.25">
      <c r="A1338" s="584"/>
      <c r="B1338" s="419">
        <v>2436</v>
      </c>
      <c r="C1338" s="420" t="s">
        <v>273</v>
      </c>
      <c r="D1338" s="421" t="s">
        <v>257</v>
      </c>
      <c r="E1338" s="422">
        <v>0.15</v>
      </c>
      <c r="F1338" s="516">
        <v>14.85</v>
      </c>
      <c r="G1338" s="423">
        <f t="shared" si="168"/>
        <v>2.23</v>
      </c>
      <c r="H1338" s="714"/>
    </row>
    <row r="1339" spans="1:9" ht="23.25" customHeight="1" x14ac:dyDescent="0.2">
      <c r="A1339" s="582" t="s">
        <v>1153</v>
      </c>
      <c r="B1339" s="383" t="s">
        <v>892</v>
      </c>
      <c r="C1339" s="518" t="s">
        <v>893</v>
      </c>
      <c r="D1339" s="411" t="s">
        <v>268</v>
      </c>
      <c r="E1339" s="412">
        <v>1</v>
      </c>
      <c r="F1339" s="413">
        <f>SUM(G1340:G1341)/E1339</f>
        <v>48.89</v>
      </c>
      <c r="G1339" s="523">
        <f t="shared" si="168"/>
        <v>48.89</v>
      </c>
      <c r="H1339" s="714"/>
    </row>
    <row r="1340" spans="1:9" ht="12" customHeight="1" x14ac:dyDescent="0.2">
      <c r="A1340" s="583"/>
      <c r="B1340" s="313">
        <v>2388</v>
      </c>
      <c r="C1340" s="314" t="s">
        <v>894</v>
      </c>
      <c r="D1340" s="315" t="s">
        <v>268</v>
      </c>
      <c r="E1340" s="359">
        <v>1</v>
      </c>
      <c r="F1340" s="517">
        <v>46.66</v>
      </c>
      <c r="G1340" s="349">
        <f t="shared" si="168"/>
        <v>46.66</v>
      </c>
      <c r="H1340" s="714"/>
    </row>
    <row r="1341" spans="1:9" ht="12" customHeight="1" thickBot="1" x14ac:dyDescent="0.25">
      <c r="A1341" s="584"/>
      <c r="B1341" s="419">
        <v>2436</v>
      </c>
      <c r="C1341" s="420" t="s">
        <v>273</v>
      </c>
      <c r="D1341" s="421" t="s">
        <v>257</v>
      </c>
      <c r="E1341" s="422">
        <v>0.15</v>
      </c>
      <c r="F1341" s="516">
        <v>14.85</v>
      </c>
      <c r="G1341" s="423">
        <f t="shared" si="168"/>
        <v>2.23</v>
      </c>
      <c r="H1341" s="714"/>
    </row>
    <row r="1342" spans="1:9" ht="24.75" customHeight="1" x14ac:dyDescent="0.2">
      <c r="A1342" s="582" t="s">
        <v>1154</v>
      </c>
      <c r="B1342" s="383" t="s">
        <v>895</v>
      </c>
      <c r="C1342" s="518" t="s">
        <v>896</v>
      </c>
      <c r="D1342" s="411" t="s">
        <v>268</v>
      </c>
      <c r="E1342" s="412">
        <v>1</v>
      </c>
      <c r="F1342" s="413">
        <f>SUM(G1343:G1344)/E1342</f>
        <v>48.89</v>
      </c>
      <c r="G1342" s="523">
        <f t="shared" si="168"/>
        <v>48.89</v>
      </c>
      <c r="H1342" s="714"/>
    </row>
    <row r="1343" spans="1:9" ht="12" customHeight="1" x14ac:dyDescent="0.2">
      <c r="A1343" s="583"/>
      <c r="B1343" s="313">
        <v>2388</v>
      </c>
      <c r="C1343" s="314" t="s">
        <v>897</v>
      </c>
      <c r="D1343" s="315" t="s">
        <v>268</v>
      </c>
      <c r="E1343" s="359">
        <v>1</v>
      </c>
      <c r="F1343" s="517">
        <v>46.66</v>
      </c>
      <c r="G1343" s="349">
        <f t="shared" si="168"/>
        <v>46.66</v>
      </c>
      <c r="H1343" s="714"/>
    </row>
    <row r="1344" spans="1:9" ht="12" customHeight="1" thickBot="1" x14ac:dyDescent="0.25">
      <c r="A1344" s="584"/>
      <c r="B1344" s="419">
        <v>2436</v>
      </c>
      <c r="C1344" s="420" t="s">
        <v>273</v>
      </c>
      <c r="D1344" s="421" t="s">
        <v>257</v>
      </c>
      <c r="E1344" s="422">
        <v>0.15</v>
      </c>
      <c r="F1344" s="516">
        <v>14.85</v>
      </c>
      <c r="G1344" s="423">
        <f t="shared" si="168"/>
        <v>2.23</v>
      </c>
      <c r="H1344" s="714"/>
    </row>
    <row r="1345" spans="1:9" ht="24" customHeight="1" x14ac:dyDescent="0.2">
      <c r="A1345" s="582" t="s">
        <v>1155</v>
      </c>
      <c r="B1345" s="383" t="s">
        <v>898</v>
      </c>
      <c r="C1345" s="518" t="s">
        <v>899</v>
      </c>
      <c r="D1345" s="411" t="s">
        <v>268</v>
      </c>
      <c r="E1345" s="412">
        <v>1</v>
      </c>
      <c r="F1345" s="413">
        <f>SUM(G1346:G1347)/E1345</f>
        <v>48.89</v>
      </c>
      <c r="G1345" s="523">
        <f t="shared" si="168"/>
        <v>48.89</v>
      </c>
      <c r="H1345" s="714"/>
    </row>
    <row r="1346" spans="1:9" ht="12" customHeight="1" x14ac:dyDescent="0.2">
      <c r="A1346" s="583"/>
      <c r="B1346" s="313">
        <v>2388</v>
      </c>
      <c r="C1346" s="314" t="s">
        <v>900</v>
      </c>
      <c r="D1346" s="315" t="s">
        <v>268</v>
      </c>
      <c r="E1346" s="359">
        <v>1</v>
      </c>
      <c r="F1346" s="517">
        <v>46.66</v>
      </c>
      <c r="G1346" s="349">
        <f t="shared" si="168"/>
        <v>46.66</v>
      </c>
      <c r="H1346" s="714"/>
    </row>
    <row r="1347" spans="1:9" ht="12" customHeight="1" thickBot="1" x14ac:dyDescent="0.25">
      <c r="A1347" s="584"/>
      <c r="B1347" s="419">
        <v>2436</v>
      </c>
      <c r="C1347" s="420" t="s">
        <v>273</v>
      </c>
      <c r="D1347" s="421" t="s">
        <v>257</v>
      </c>
      <c r="E1347" s="422">
        <v>0.15</v>
      </c>
      <c r="F1347" s="516">
        <v>14.85</v>
      </c>
      <c r="G1347" s="423">
        <f t="shared" si="168"/>
        <v>2.23</v>
      </c>
      <c r="H1347" s="714"/>
    </row>
    <row r="1348" spans="1:9" ht="23.25" customHeight="1" x14ac:dyDescent="0.2">
      <c r="A1348" s="582" t="s">
        <v>1156</v>
      </c>
      <c r="B1348" s="383" t="s">
        <v>901</v>
      </c>
      <c r="C1348" s="518" t="s">
        <v>902</v>
      </c>
      <c r="D1348" s="411" t="s">
        <v>268</v>
      </c>
      <c r="E1348" s="412">
        <v>1</v>
      </c>
      <c r="F1348" s="413">
        <f>SUM(G1349:G1350)/E1348</f>
        <v>48.89</v>
      </c>
      <c r="G1348" s="523">
        <f t="shared" si="168"/>
        <v>48.89</v>
      </c>
      <c r="H1348" s="714"/>
    </row>
    <row r="1349" spans="1:9" ht="12" customHeight="1" x14ac:dyDescent="0.2">
      <c r="A1349" s="583"/>
      <c r="B1349" s="313">
        <v>2388</v>
      </c>
      <c r="C1349" s="314" t="s">
        <v>903</v>
      </c>
      <c r="D1349" s="315" t="s">
        <v>268</v>
      </c>
      <c r="E1349" s="359">
        <v>1</v>
      </c>
      <c r="F1349" s="517">
        <v>46.66</v>
      </c>
      <c r="G1349" s="349">
        <f t="shared" si="168"/>
        <v>46.66</v>
      </c>
      <c r="H1349" s="714"/>
    </row>
    <row r="1350" spans="1:9" ht="12" customHeight="1" thickBot="1" x14ac:dyDescent="0.25">
      <c r="A1350" s="584"/>
      <c r="B1350" s="419">
        <v>2436</v>
      </c>
      <c r="C1350" s="420" t="s">
        <v>273</v>
      </c>
      <c r="D1350" s="421" t="s">
        <v>257</v>
      </c>
      <c r="E1350" s="422">
        <v>0.15</v>
      </c>
      <c r="F1350" s="516">
        <v>14.85</v>
      </c>
      <c r="G1350" s="423">
        <f t="shared" si="168"/>
        <v>2.23</v>
      </c>
      <c r="H1350" s="714"/>
    </row>
    <row r="1351" spans="1:9" ht="24.75" customHeight="1" x14ac:dyDescent="0.2">
      <c r="A1351" s="582" t="s">
        <v>1157</v>
      </c>
      <c r="B1351" s="383" t="s">
        <v>904</v>
      </c>
      <c r="C1351" s="518" t="s">
        <v>905</v>
      </c>
      <c r="D1351" s="411" t="s">
        <v>268</v>
      </c>
      <c r="E1351" s="412">
        <v>1</v>
      </c>
      <c r="F1351" s="413">
        <f>SUM(G1352:G1353)/E1351</f>
        <v>48.89</v>
      </c>
      <c r="G1351" s="523">
        <f t="shared" si="168"/>
        <v>48.89</v>
      </c>
      <c r="H1351" s="714"/>
    </row>
    <row r="1352" spans="1:9" ht="12" customHeight="1" x14ac:dyDescent="0.2">
      <c r="A1352" s="583"/>
      <c r="B1352" s="313">
        <v>2388</v>
      </c>
      <c r="C1352" s="314" t="s">
        <v>906</v>
      </c>
      <c r="D1352" s="315" t="s">
        <v>268</v>
      </c>
      <c r="E1352" s="359">
        <v>1</v>
      </c>
      <c r="F1352" s="517">
        <v>46.66</v>
      </c>
      <c r="G1352" s="349">
        <f t="shared" si="168"/>
        <v>46.66</v>
      </c>
      <c r="H1352" s="714"/>
    </row>
    <row r="1353" spans="1:9" ht="12" customHeight="1" thickBot="1" x14ac:dyDescent="0.25">
      <c r="A1353" s="584"/>
      <c r="B1353" s="419">
        <v>2436</v>
      </c>
      <c r="C1353" s="420" t="s">
        <v>273</v>
      </c>
      <c r="D1353" s="421" t="s">
        <v>257</v>
      </c>
      <c r="E1353" s="422">
        <v>0.15</v>
      </c>
      <c r="F1353" s="516">
        <v>14.85</v>
      </c>
      <c r="G1353" s="423">
        <f t="shared" si="168"/>
        <v>2.23</v>
      </c>
      <c r="H1353" s="714"/>
    </row>
    <row r="1354" spans="1:9" ht="23.25" customHeight="1" thickBot="1" x14ac:dyDescent="0.3">
      <c r="A1354" s="582" t="s">
        <v>1158</v>
      </c>
      <c r="B1354" s="306" t="s">
        <v>633</v>
      </c>
      <c r="C1354" s="27" t="s">
        <v>634</v>
      </c>
      <c r="D1354" s="403"/>
      <c r="E1354" s="404">
        <v>1</v>
      </c>
      <c r="F1354" s="413">
        <f>SUM(G1355:G1357)/E1354</f>
        <v>94.67</v>
      </c>
      <c r="G1354" s="405"/>
      <c r="H1354" s="104" t="s">
        <v>59</v>
      </c>
      <c r="I1354" s="482">
        <v>94.67</v>
      </c>
    </row>
    <row r="1355" spans="1:9" ht="21" customHeight="1" x14ac:dyDescent="0.25">
      <c r="A1355" s="583"/>
      <c r="B1355" s="32">
        <v>88247</v>
      </c>
      <c r="C1355" s="13" t="s">
        <v>877</v>
      </c>
      <c r="D1355" s="14" t="s">
        <v>257</v>
      </c>
      <c r="E1355" s="22">
        <f>0.4003*E1354</f>
        <v>0.40029999999999999</v>
      </c>
      <c r="F1355" s="15">
        <v>13.73</v>
      </c>
      <c r="G1355" s="33">
        <f t="shared" ref="G1355:G1356" si="169">E1355*F1355</f>
        <v>5.5</v>
      </c>
      <c r="H1355" s="347">
        <f>I1354-H1357</f>
        <v>12.67</v>
      </c>
    </row>
    <row r="1356" spans="1:9" ht="12" customHeight="1" x14ac:dyDescent="0.25">
      <c r="A1356" s="583"/>
      <c r="B1356" s="32">
        <v>88264</v>
      </c>
      <c r="C1356" s="16" t="s">
        <v>878</v>
      </c>
      <c r="D1356" s="14" t="s">
        <v>257</v>
      </c>
      <c r="E1356" s="22">
        <f>0.4002*E1354</f>
        <v>0.4002</v>
      </c>
      <c r="F1356" s="18">
        <v>17.920000000000002</v>
      </c>
      <c r="G1356" s="33">
        <f t="shared" si="169"/>
        <v>7.17</v>
      </c>
      <c r="H1356" s="519" t="s">
        <v>9</v>
      </c>
    </row>
    <row r="1357" spans="1:9" ht="12.75" customHeight="1" thickBot="1" x14ac:dyDescent="0.3">
      <c r="A1357" s="584"/>
      <c r="B1357" s="211">
        <v>2373</v>
      </c>
      <c r="C1357" s="216" t="s">
        <v>1293</v>
      </c>
      <c r="D1357" s="212" t="s">
        <v>269</v>
      </c>
      <c r="E1357" s="271">
        <f>1*E1354</f>
        <v>1</v>
      </c>
      <c r="F1357" s="309">
        <v>82</v>
      </c>
      <c r="G1357" s="215">
        <f>E1357*F1357</f>
        <v>82</v>
      </c>
      <c r="H1357" s="502">
        <f>G1357</f>
        <v>82</v>
      </c>
    </row>
    <row r="1358" spans="1:9" ht="12" customHeight="1" x14ac:dyDescent="0.2">
      <c r="A1358" s="582" t="s">
        <v>1159</v>
      </c>
      <c r="B1358" s="307" t="s">
        <v>909</v>
      </c>
      <c r="C1358" s="520" t="s">
        <v>907</v>
      </c>
      <c r="D1358" s="411" t="s">
        <v>268</v>
      </c>
      <c r="E1358" s="471">
        <v>1</v>
      </c>
      <c r="F1358" s="413">
        <f>SUM(G1359:G1360)/E1358</f>
        <v>81.540000000000006</v>
      </c>
      <c r="G1358" s="523">
        <f t="shared" ref="G1358:G1363" si="170">E1358*F1358</f>
        <v>81.540000000000006</v>
      </c>
      <c r="H1358" s="714"/>
    </row>
    <row r="1359" spans="1:9" ht="12" customHeight="1" x14ac:dyDescent="0.2">
      <c r="A1359" s="583"/>
      <c r="B1359" s="313" t="s">
        <v>16</v>
      </c>
      <c r="C1359" s="314" t="s">
        <v>907</v>
      </c>
      <c r="D1359" s="315" t="s">
        <v>268</v>
      </c>
      <c r="E1359" s="316">
        <v>1</v>
      </c>
      <c r="F1359" s="522">
        <v>76</v>
      </c>
      <c r="G1359" s="349">
        <f t="shared" si="170"/>
        <v>76</v>
      </c>
      <c r="H1359" s="714"/>
    </row>
    <row r="1360" spans="1:9" ht="12" customHeight="1" thickBot="1" x14ac:dyDescent="0.25">
      <c r="A1360" s="584"/>
      <c r="B1360" s="419">
        <v>2436</v>
      </c>
      <c r="C1360" s="420" t="s">
        <v>273</v>
      </c>
      <c r="D1360" s="421" t="s">
        <v>257</v>
      </c>
      <c r="E1360" s="505">
        <v>0.373</v>
      </c>
      <c r="F1360" s="521">
        <v>14.85</v>
      </c>
      <c r="G1360" s="423">
        <f t="shared" si="170"/>
        <v>5.54</v>
      </c>
      <c r="H1360" s="714"/>
    </row>
    <row r="1361" spans="1:9" ht="12" customHeight="1" x14ac:dyDescent="0.2">
      <c r="A1361" s="582" t="s">
        <v>1160</v>
      </c>
      <c r="B1361" s="307" t="s">
        <v>910</v>
      </c>
      <c r="C1361" s="520" t="s">
        <v>908</v>
      </c>
      <c r="D1361" s="411" t="s">
        <v>268</v>
      </c>
      <c r="E1361" s="471">
        <v>1</v>
      </c>
      <c r="F1361" s="413">
        <f>SUM(G1362:G1363)/E1361</f>
        <v>114.93</v>
      </c>
      <c r="G1361" s="523">
        <f t="shared" si="170"/>
        <v>114.93</v>
      </c>
      <c r="H1361" s="714"/>
    </row>
    <row r="1362" spans="1:9" ht="12" customHeight="1" x14ac:dyDescent="0.2">
      <c r="A1362" s="583"/>
      <c r="B1362" s="313" t="s">
        <v>16</v>
      </c>
      <c r="C1362" s="314" t="s">
        <v>908</v>
      </c>
      <c r="D1362" s="315" t="s">
        <v>268</v>
      </c>
      <c r="E1362" s="316">
        <v>1</v>
      </c>
      <c r="F1362" s="522">
        <v>108</v>
      </c>
      <c r="G1362" s="349">
        <f t="shared" si="170"/>
        <v>108</v>
      </c>
      <c r="H1362" s="714"/>
    </row>
    <row r="1363" spans="1:9" ht="12" customHeight="1" thickBot="1" x14ac:dyDescent="0.25">
      <c r="A1363" s="584"/>
      <c r="B1363" s="419">
        <v>2436</v>
      </c>
      <c r="C1363" s="420" t="s">
        <v>273</v>
      </c>
      <c r="D1363" s="421" t="s">
        <v>257</v>
      </c>
      <c r="E1363" s="505">
        <v>0.46700000000000003</v>
      </c>
      <c r="F1363" s="521">
        <v>14.85</v>
      </c>
      <c r="G1363" s="423">
        <f t="shared" si="170"/>
        <v>6.93</v>
      </c>
      <c r="H1363" s="714"/>
    </row>
    <row r="1364" spans="1:9" ht="23.25" thickBot="1" x14ac:dyDescent="0.3">
      <c r="A1364" s="582" t="s">
        <v>1161</v>
      </c>
      <c r="B1364" s="305" t="s">
        <v>48</v>
      </c>
      <c r="C1364" s="102" t="s">
        <v>49</v>
      </c>
      <c r="D1364" s="55" t="s">
        <v>232</v>
      </c>
      <c r="E1364" s="56">
        <v>1</v>
      </c>
      <c r="F1364" s="57">
        <f>SUM(G1365:G1368)/E1364</f>
        <v>3</v>
      </c>
      <c r="G1364" s="103">
        <f>E1364*F1364</f>
        <v>3</v>
      </c>
      <c r="H1364" s="220">
        <f>I1364-H1366</f>
        <v>1.58</v>
      </c>
      <c r="I1364" s="482">
        <v>3</v>
      </c>
    </row>
    <row r="1365" spans="1:9" ht="22.5" x14ac:dyDescent="0.25">
      <c r="A1365" s="583"/>
      <c r="B1365" s="204">
        <v>984</v>
      </c>
      <c r="C1365" s="205" t="s">
        <v>1</v>
      </c>
      <c r="D1365" s="206" t="s">
        <v>232</v>
      </c>
      <c r="E1365" s="207">
        <f>1*E1364</f>
        <v>1</v>
      </c>
      <c r="F1365" s="329">
        <v>1.41</v>
      </c>
      <c r="G1365" s="209">
        <f>F1365*E1365</f>
        <v>1.41</v>
      </c>
      <c r="H1365" s="60" t="s">
        <v>9</v>
      </c>
    </row>
    <row r="1366" spans="1:9" ht="12" thickBot="1" x14ac:dyDescent="0.3">
      <c r="A1366" s="583"/>
      <c r="B1366" s="32">
        <v>88264</v>
      </c>
      <c r="C1366" s="16" t="s">
        <v>878</v>
      </c>
      <c r="D1366" s="14" t="s">
        <v>257</v>
      </c>
      <c r="E1366" s="22">
        <f>0.05*E1364</f>
        <v>0.05</v>
      </c>
      <c r="F1366" s="15">
        <v>17.920000000000002</v>
      </c>
      <c r="G1366" s="33">
        <f>F1366*E1366</f>
        <v>0.9</v>
      </c>
      <c r="H1366" s="221">
        <f>G1365+G1368</f>
        <v>1.42</v>
      </c>
      <c r="I1366" s="11">
        <f>3-2.1</f>
        <v>0.9</v>
      </c>
    </row>
    <row r="1367" spans="1:9" ht="12" customHeight="1" thickBot="1" x14ac:dyDescent="0.3">
      <c r="A1367" s="583"/>
      <c r="B1367" s="32">
        <v>88316</v>
      </c>
      <c r="C1367" s="13" t="s">
        <v>690</v>
      </c>
      <c r="D1367" s="14" t="s">
        <v>257</v>
      </c>
      <c r="E1367" s="24">
        <f>0.05*E1364</f>
        <v>0.05</v>
      </c>
      <c r="F1367" s="15">
        <v>13.56</v>
      </c>
      <c r="G1367" s="40">
        <f t="shared" ref="G1367" si="171">F1367*E1367</f>
        <v>0.68</v>
      </c>
      <c r="H1367" s="678"/>
      <c r="I1367" s="11">
        <f>0.9/0.05</f>
        <v>18</v>
      </c>
    </row>
    <row r="1368" spans="1:9" ht="12" thickBot="1" x14ac:dyDescent="0.25">
      <c r="A1368" s="584"/>
      <c r="B1368" s="211">
        <v>21127</v>
      </c>
      <c r="C1368" s="216" t="s">
        <v>2</v>
      </c>
      <c r="D1368" s="212" t="s">
        <v>268</v>
      </c>
      <c r="E1368" s="213">
        <f>0.0112*E1364</f>
        <v>1.12E-2</v>
      </c>
      <c r="F1368" s="330">
        <v>1.27</v>
      </c>
      <c r="G1368" s="215">
        <f>F1368*E1368</f>
        <v>0.01</v>
      </c>
      <c r="H1368" s="105" t="s">
        <v>8</v>
      </c>
    </row>
    <row r="1369" spans="1:9" ht="26.25" customHeight="1" thickBot="1" x14ac:dyDescent="0.3">
      <c r="A1369" s="582" t="s">
        <v>1162</v>
      </c>
      <c r="B1369" s="305" t="s">
        <v>635</v>
      </c>
      <c r="C1369" s="102" t="s">
        <v>638</v>
      </c>
      <c r="D1369" s="55" t="s">
        <v>232</v>
      </c>
      <c r="E1369" s="56">
        <v>1</v>
      </c>
      <c r="F1369" s="57">
        <f>SUM(G1370:G1373)/E1369</f>
        <v>4.3499999999999996</v>
      </c>
      <c r="G1369" s="103">
        <f>E1369*F1369</f>
        <v>4.3499999999999996</v>
      </c>
      <c r="H1369" s="220">
        <f>I1369-H1371</f>
        <v>1.91</v>
      </c>
      <c r="I1369" s="482">
        <v>4.3499999999999996</v>
      </c>
    </row>
    <row r="1370" spans="1:9" ht="22.5" x14ac:dyDescent="0.25">
      <c r="A1370" s="583"/>
      <c r="B1370" s="204">
        <v>981</v>
      </c>
      <c r="C1370" s="205" t="s">
        <v>636</v>
      </c>
      <c r="D1370" s="206" t="s">
        <v>232</v>
      </c>
      <c r="E1370" s="207">
        <f>1*E1369</f>
        <v>1</v>
      </c>
      <c r="F1370" s="329">
        <v>2.4300000000000002</v>
      </c>
      <c r="G1370" s="209">
        <f>F1370*E1370</f>
        <v>2.4300000000000002</v>
      </c>
      <c r="H1370" s="60" t="s">
        <v>9</v>
      </c>
    </row>
    <row r="1371" spans="1:9" ht="12" thickBot="1" x14ac:dyDescent="0.3">
      <c r="A1371" s="583"/>
      <c r="B1371" s="32">
        <v>88264</v>
      </c>
      <c r="C1371" s="16" t="s">
        <v>878</v>
      </c>
      <c r="D1371" s="14" t="s">
        <v>257</v>
      </c>
      <c r="E1371" s="22">
        <f>0.0605*E1369</f>
        <v>6.0499999999999998E-2</v>
      </c>
      <c r="F1371" s="15">
        <v>17.920000000000002</v>
      </c>
      <c r="G1371" s="33">
        <f>F1371*E1371</f>
        <v>1.08</v>
      </c>
      <c r="H1371" s="221">
        <f>G1370+G1373</f>
        <v>2.44</v>
      </c>
    </row>
    <row r="1372" spans="1:9" ht="12" thickBot="1" x14ac:dyDescent="0.3">
      <c r="A1372" s="583"/>
      <c r="B1372" s="32">
        <v>88316</v>
      </c>
      <c r="C1372" s="13" t="s">
        <v>690</v>
      </c>
      <c r="D1372" s="14" t="s">
        <v>257</v>
      </c>
      <c r="E1372" s="24">
        <f>0.061*E1369</f>
        <v>6.0999999999999999E-2</v>
      </c>
      <c r="F1372" s="15">
        <v>13.56</v>
      </c>
      <c r="G1372" s="40">
        <f t="shared" ref="G1372" si="172">F1372*E1372</f>
        <v>0.83</v>
      </c>
      <c r="H1372" s="678"/>
    </row>
    <row r="1373" spans="1:9" ht="12" thickBot="1" x14ac:dyDescent="0.25">
      <c r="A1373" s="584"/>
      <c r="B1373" s="211">
        <v>21127</v>
      </c>
      <c r="C1373" s="216" t="s">
        <v>2</v>
      </c>
      <c r="D1373" s="212" t="s">
        <v>268</v>
      </c>
      <c r="E1373" s="213">
        <f>0.0112*E1369</f>
        <v>1.12E-2</v>
      </c>
      <c r="F1373" s="330">
        <v>1.27</v>
      </c>
      <c r="G1373" s="215">
        <f>F1373*E1373</f>
        <v>0.01</v>
      </c>
      <c r="H1373" s="105" t="s">
        <v>8</v>
      </c>
    </row>
    <row r="1374" spans="1:9" ht="26.25" customHeight="1" thickBot="1" x14ac:dyDescent="0.3">
      <c r="A1374" s="582" t="s">
        <v>1163</v>
      </c>
      <c r="B1374" s="305" t="s">
        <v>637</v>
      </c>
      <c r="C1374" s="102" t="s">
        <v>639</v>
      </c>
      <c r="D1374" s="55" t="s">
        <v>232</v>
      </c>
      <c r="E1374" s="56">
        <v>1</v>
      </c>
      <c r="F1374" s="57">
        <f>SUM(G1375:G1378)/E1374</f>
        <v>5.85</v>
      </c>
      <c r="G1374" s="103">
        <f>E1374*F1374</f>
        <v>5.85</v>
      </c>
      <c r="H1374" s="220">
        <f>I1374-H1376</f>
        <v>2.2000000000000002</v>
      </c>
      <c r="I1374" s="482">
        <v>5.85</v>
      </c>
    </row>
    <row r="1375" spans="1:9" ht="24.75" customHeight="1" x14ac:dyDescent="0.25">
      <c r="A1375" s="583"/>
      <c r="B1375" s="204">
        <v>982</v>
      </c>
      <c r="C1375" s="205" t="s">
        <v>640</v>
      </c>
      <c r="D1375" s="206" t="s">
        <v>232</v>
      </c>
      <c r="E1375" s="207">
        <f>1*E1374</f>
        <v>1</v>
      </c>
      <c r="F1375" s="329">
        <v>3.64</v>
      </c>
      <c r="G1375" s="209">
        <f>F1375*E1375</f>
        <v>3.64</v>
      </c>
      <c r="H1375" s="60" t="s">
        <v>9</v>
      </c>
    </row>
    <row r="1376" spans="1:9" ht="12" thickBot="1" x14ac:dyDescent="0.3">
      <c r="A1376" s="583"/>
      <c r="B1376" s="32">
        <v>88264</v>
      </c>
      <c r="C1376" s="16" t="s">
        <v>878</v>
      </c>
      <c r="D1376" s="14" t="s">
        <v>257</v>
      </c>
      <c r="E1376" s="22">
        <f>0.07*E1374</f>
        <v>7.0000000000000007E-2</v>
      </c>
      <c r="F1376" s="15">
        <v>17.920000000000002</v>
      </c>
      <c r="G1376" s="33">
        <f>F1376*E1376</f>
        <v>1.25</v>
      </c>
      <c r="H1376" s="221">
        <f>G1375+G1378</f>
        <v>3.65</v>
      </c>
    </row>
    <row r="1377" spans="1:9" ht="12" thickBot="1" x14ac:dyDescent="0.3">
      <c r="A1377" s="583"/>
      <c r="B1377" s="32">
        <v>88316</v>
      </c>
      <c r="C1377" s="13" t="s">
        <v>690</v>
      </c>
      <c r="D1377" s="14" t="s">
        <v>257</v>
      </c>
      <c r="E1377" s="24">
        <f>0.07*E1374</f>
        <v>7.0000000000000007E-2</v>
      </c>
      <c r="F1377" s="15">
        <v>13.56</v>
      </c>
      <c r="G1377" s="40">
        <f t="shared" ref="G1377" si="173">F1377*E1377</f>
        <v>0.95</v>
      </c>
      <c r="H1377" s="678"/>
    </row>
    <row r="1378" spans="1:9" ht="12" thickBot="1" x14ac:dyDescent="0.25">
      <c r="A1378" s="584"/>
      <c r="B1378" s="211">
        <v>21127</v>
      </c>
      <c r="C1378" s="216" t="s">
        <v>2</v>
      </c>
      <c r="D1378" s="212" t="s">
        <v>268</v>
      </c>
      <c r="E1378" s="213">
        <f>0.0112*E1374</f>
        <v>1.12E-2</v>
      </c>
      <c r="F1378" s="330">
        <v>1.27</v>
      </c>
      <c r="G1378" s="215">
        <f>F1378*E1378</f>
        <v>0.01</v>
      </c>
      <c r="H1378" s="105" t="s">
        <v>8</v>
      </c>
    </row>
    <row r="1379" spans="1:9" ht="24" customHeight="1" thickBot="1" x14ac:dyDescent="0.3">
      <c r="A1379" s="582" t="s">
        <v>1164</v>
      </c>
      <c r="B1379" s="305" t="s">
        <v>641</v>
      </c>
      <c r="C1379" s="102" t="s">
        <v>642</v>
      </c>
      <c r="D1379" s="55" t="s">
        <v>232</v>
      </c>
      <c r="E1379" s="56">
        <v>1</v>
      </c>
      <c r="F1379" s="57">
        <f>SUM(G1380:G1383)/E1379</f>
        <v>8.91</v>
      </c>
      <c r="G1379" s="103">
        <f>E1379*F1379</f>
        <v>8.91</v>
      </c>
      <c r="H1379" s="220">
        <f>I1379-H1381</f>
        <v>2.5099999999999998</v>
      </c>
      <c r="I1379" s="482">
        <v>8.91</v>
      </c>
    </row>
    <row r="1380" spans="1:9" ht="21.75" customHeight="1" x14ac:dyDescent="0.25">
      <c r="A1380" s="583"/>
      <c r="B1380" s="204">
        <v>980</v>
      </c>
      <c r="C1380" s="205" t="s">
        <v>643</v>
      </c>
      <c r="D1380" s="206" t="s">
        <v>232</v>
      </c>
      <c r="E1380" s="207">
        <f>1*E1379</f>
        <v>1</v>
      </c>
      <c r="F1380" s="329">
        <v>6.4</v>
      </c>
      <c r="G1380" s="209">
        <f>F1380*E1380</f>
        <v>6.4</v>
      </c>
      <c r="H1380" s="60" t="s">
        <v>9</v>
      </c>
    </row>
    <row r="1381" spans="1:9" ht="12" thickBot="1" x14ac:dyDescent="0.3">
      <c r="A1381" s="583"/>
      <c r="B1381" s="32">
        <v>88264</v>
      </c>
      <c r="C1381" s="16" t="s">
        <v>878</v>
      </c>
      <c r="D1381" s="14" t="s">
        <v>257</v>
      </c>
      <c r="E1381" s="22">
        <f>0.08*E1379</f>
        <v>0.08</v>
      </c>
      <c r="F1381" s="15">
        <v>17.920000000000002</v>
      </c>
      <c r="G1381" s="33">
        <f>F1381*E1381</f>
        <v>1.43</v>
      </c>
      <c r="H1381" s="221">
        <f>G1380+G1383</f>
        <v>6.4</v>
      </c>
    </row>
    <row r="1382" spans="1:9" ht="12" thickBot="1" x14ac:dyDescent="0.3">
      <c r="A1382" s="583"/>
      <c r="B1382" s="32">
        <v>88316</v>
      </c>
      <c r="C1382" s="13" t="s">
        <v>690</v>
      </c>
      <c r="D1382" s="14" t="s">
        <v>257</v>
      </c>
      <c r="E1382" s="24">
        <f>0.08*E1379</f>
        <v>0.08</v>
      </c>
      <c r="F1382" s="15">
        <v>13.56</v>
      </c>
      <c r="G1382" s="40">
        <f t="shared" ref="G1382" si="174">F1382*E1382</f>
        <v>1.08</v>
      </c>
      <c r="H1382" s="678"/>
    </row>
    <row r="1383" spans="1:9" ht="12" thickBot="1" x14ac:dyDescent="0.25">
      <c r="A1383" s="584"/>
      <c r="B1383" s="211">
        <v>21127</v>
      </c>
      <c r="C1383" s="216" t="s">
        <v>2</v>
      </c>
      <c r="D1383" s="212" t="s">
        <v>268</v>
      </c>
      <c r="E1383" s="213">
        <v>0</v>
      </c>
      <c r="F1383" s="330">
        <v>0</v>
      </c>
      <c r="G1383" s="215">
        <f>F1383*E1383</f>
        <v>0</v>
      </c>
      <c r="H1383" s="105" t="s">
        <v>8</v>
      </c>
    </row>
    <row r="1384" spans="1:9" ht="27" customHeight="1" thickBot="1" x14ac:dyDescent="0.3">
      <c r="A1384" s="582" t="s">
        <v>1165</v>
      </c>
      <c r="B1384" s="305" t="s">
        <v>644</v>
      </c>
      <c r="C1384" s="102" t="s">
        <v>645</v>
      </c>
      <c r="D1384" s="55" t="s">
        <v>232</v>
      </c>
      <c r="E1384" s="56">
        <v>1</v>
      </c>
      <c r="F1384" s="57">
        <f>SUM(G1385:G1388)/E1384</f>
        <v>10.24</v>
      </c>
      <c r="G1384" s="103">
        <f>E1384*F1384</f>
        <v>10.24</v>
      </c>
      <c r="H1384" s="220">
        <f>I1384-H1386</f>
        <v>2.83</v>
      </c>
      <c r="I1384" s="482">
        <v>10.24</v>
      </c>
    </row>
    <row r="1385" spans="1:9" ht="23.25" customHeight="1" x14ac:dyDescent="0.25">
      <c r="A1385" s="583"/>
      <c r="B1385" s="204">
        <v>979</v>
      </c>
      <c r="C1385" s="205" t="s">
        <v>646</v>
      </c>
      <c r="D1385" s="206" t="s">
        <v>232</v>
      </c>
      <c r="E1385" s="207">
        <f>1*E1384</f>
        <v>1</v>
      </c>
      <c r="F1385" s="329">
        <v>7.41</v>
      </c>
      <c r="G1385" s="209">
        <f>F1385*E1385</f>
        <v>7.41</v>
      </c>
      <c r="H1385" s="60" t="s">
        <v>9</v>
      </c>
    </row>
    <row r="1386" spans="1:9" ht="12" thickBot="1" x14ac:dyDescent="0.3">
      <c r="A1386" s="583"/>
      <c r="B1386" s="32">
        <v>88264</v>
      </c>
      <c r="C1386" s="16" t="s">
        <v>878</v>
      </c>
      <c r="D1386" s="14" t="s">
        <v>257</v>
      </c>
      <c r="E1386" s="22">
        <f>0.09*E1384</f>
        <v>0.09</v>
      </c>
      <c r="F1386" s="15">
        <v>17.920000000000002</v>
      </c>
      <c r="G1386" s="33">
        <f>F1386*E1386</f>
        <v>1.61</v>
      </c>
      <c r="H1386" s="221">
        <f>G1385+G1388</f>
        <v>7.41</v>
      </c>
    </row>
    <row r="1387" spans="1:9" ht="12" thickBot="1" x14ac:dyDescent="0.3">
      <c r="A1387" s="583"/>
      <c r="B1387" s="32">
        <v>88316</v>
      </c>
      <c r="C1387" s="13" t="s">
        <v>690</v>
      </c>
      <c r="D1387" s="14" t="s">
        <v>257</v>
      </c>
      <c r="E1387" s="24">
        <f>0.09*E1384</f>
        <v>0.09</v>
      </c>
      <c r="F1387" s="15">
        <v>13.56</v>
      </c>
      <c r="G1387" s="40">
        <f t="shared" ref="G1387" si="175">F1387*E1387</f>
        <v>1.22</v>
      </c>
      <c r="H1387" s="678"/>
    </row>
    <row r="1388" spans="1:9" ht="12" thickBot="1" x14ac:dyDescent="0.25">
      <c r="A1388" s="584"/>
      <c r="B1388" s="211">
        <v>21127</v>
      </c>
      <c r="C1388" s="216" t="s">
        <v>2</v>
      </c>
      <c r="D1388" s="212" t="s">
        <v>268</v>
      </c>
      <c r="E1388" s="213">
        <v>0</v>
      </c>
      <c r="F1388" s="330">
        <v>0</v>
      </c>
      <c r="G1388" s="215">
        <f>F1388*E1388</f>
        <v>0</v>
      </c>
      <c r="H1388" s="105" t="s">
        <v>8</v>
      </c>
    </row>
    <row r="1389" spans="1:9" ht="24.75" customHeight="1" thickBot="1" x14ac:dyDescent="0.3">
      <c r="A1389" s="582" t="s">
        <v>1166</v>
      </c>
      <c r="B1389" s="305">
        <v>83422</v>
      </c>
      <c r="C1389" s="102" t="s">
        <v>911</v>
      </c>
      <c r="D1389" s="55" t="s">
        <v>232</v>
      </c>
      <c r="E1389" s="56">
        <v>1</v>
      </c>
      <c r="F1389" s="57">
        <f>SUM(G1390:G1393)/E1389</f>
        <v>16.57</v>
      </c>
      <c r="G1389" s="103">
        <f>E1389*F1389</f>
        <v>16.57</v>
      </c>
      <c r="H1389" s="220">
        <f>I1389-H1391</f>
        <v>3.16</v>
      </c>
      <c r="I1389" s="482">
        <v>16.57</v>
      </c>
    </row>
    <row r="1390" spans="1:9" ht="22.5" x14ac:dyDescent="0.25">
      <c r="A1390" s="583"/>
      <c r="B1390" s="204">
        <v>996</v>
      </c>
      <c r="C1390" s="205" t="s">
        <v>1296</v>
      </c>
      <c r="D1390" s="206" t="s">
        <v>232</v>
      </c>
      <c r="E1390" s="207">
        <f>1*E1389</f>
        <v>1</v>
      </c>
      <c r="F1390" s="329">
        <v>13.41</v>
      </c>
      <c r="G1390" s="209">
        <f>F1390*E1390</f>
        <v>13.41</v>
      </c>
      <c r="H1390" s="60" t="s">
        <v>9</v>
      </c>
    </row>
    <row r="1391" spans="1:9" ht="12" thickBot="1" x14ac:dyDescent="0.3">
      <c r="A1391" s="583"/>
      <c r="B1391" s="32">
        <v>88264</v>
      </c>
      <c r="C1391" s="16" t="s">
        <v>878</v>
      </c>
      <c r="D1391" s="14" t="s">
        <v>257</v>
      </c>
      <c r="E1391" s="22">
        <f>0.1*E1389</f>
        <v>0.1</v>
      </c>
      <c r="F1391" s="15">
        <v>17.920000000000002</v>
      </c>
      <c r="G1391" s="33">
        <f>F1391*E1391</f>
        <v>1.79</v>
      </c>
      <c r="H1391" s="221">
        <f>G1390+G1393</f>
        <v>13.41</v>
      </c>
    </row>
    <row r="1392" spans="1:9" ht="24.75" customHeight="1" thickBot="1" x14ac:dyDescent="0.3">
      <c r="A1392" s="583"/>
      <c r="B1392" s="32">
        <v>88247</v>
      </c>
      <c r="C1392" s="13" t="s">
        <v>877</v>
      </c>
      <c r="D1392" s="14" t="s">
        <v>257</v>
      </c>
      <c r="E1392" s="21">
        <f>0.1*E1389</f>
        <v>0.1</v>
      </c>
      <c r="F1392" s="99">
        <v>13.73</v>
      </c>
      <c r="G1392" s="40">
        <f>F1392*E1392</f>
        <v>1.37</v>
      </c>
      <c r="H1392" s="678"/>
    </row>
    <row r="1393" spans="1:9" ht="12" thickBot="1" x14ac:dyDescent="0.25">
      <c r="A1393" s="584"/>
      <c r="B1393" s="211">
        <v>21127</v>
      </c>
      <c r="C1393" s="216" t="s">
        <v>2</v>
      </c>
      <c r="D1393" s="212" t="s">
        <v>268</v>
      </c>
      <c r="E1393" s="213">
        <v>0</v>
      </c>
      <c r="F1393" s="330">
        <v>0</v>
      </c>
      <c r="G1393" s="215">
        <f>F1393*E1393</f>
        <v>0</v>
      </c>
      <c r="H1393" s="105" t="s">
        <v>8</v>
      </c>
    </row>
    <row r="1394" spans="1:9" ht="24" customHeight="1" thickBot="1" x14ac:dyDescent="0.3">
      <c r="A1394" s="582" t="s">
        <v>1167</v>
      </c>
      <c r="B1394" s="305">
        <v>83424</v>
      </c>
      <c r="C1394" s="102" t="s">
        <v>1295</v>
      </c>
      <c r="D1394" s="55" t="s">
        <v>232</v>
      </c>
      <c r="E1394" s="56">
        <v>1</v>
      </c>
      <c r="F1394" s="57">
        <f>SUM(G1395:G1398)/E1394</f>
        <v>30.25</v>
      </c>
      <c r="G1394" s="103">
        <f>E1394*F1394</f>
        <v>30.25</v>
      </c>
      <c r="H1394" s="220">
        <f>I1394-H1396</f>
        <v>6.34</v>
      </c>
      <c r="I1394" s="482">
        <v>30.25</v>
      </c>
    </row>
    <row r="1395" spans="1:9" ht="22.5" x14ac:dyDescent="0.25">
      <c r="A1395" s="583"/>
      <c r="B1395" s="204">
        <v>1018</v>
      </c>
      <c r="C1395" s="205" t="s">
        <v>1294</v>
      </c>
      <c r="D1395" s="206" t="s">
        <v>232</v>
      </c>
      <c r="E1395" s="207">
        <f>1*E1394</f>
        <v>1</v>
      </c>
      <c r="F1395" s="329">
        <v>23.91</v>
      </c>
      <c r="G1395" s="209">
        <f>F1395*E1395</f>
        <v>23.91</v>
      </c>
      <c r="H1395" s="60" t="s">
        <v>9</v>
      </c>
    </row>
    <row r="1396" spans="1:9" ht="12" thickBot="1" x14ac:dyDescent="0.3">
      <c r="A1396" s="583"/>
      <c r="B1396" s="32">
        <v>88264</v>
      </c>
      <c r="C1396" s="16" t="s">
        <v>878</v>
      </c>
      <c r="D1396" s="14" t="s">
        <v>257</v>
      </c>
      <c r="E1396" s="22">
        <f>0.2005*E1394</f>
        <v>0.20050000000000001</v>
      </c>
      <c r="F1396" s="15">
        <v>17.920000000000002</v>
      </c>
      <c r="G1396" s="33">
        <f>F1396*E1396</f>
        <v>3.59</v>
      </c>
      <c r="H1396" s="221">
        <f>G1395+G1398</f>
        <v>23.91</v>
      </c>
    </row>
    <row r="1397" spans="1:9" ht="24" customHeight="1" thickBot="1" x14ac:dyDescent="0.3">
      <c r="A1397" s="583"/>
      <c r="B1397" s="32">
        <v>88247</v>
      </c>
      <c r="C1397" s="13" t="s">
        <v>877</v>
      </c>
      <c r="D1397" s="14" t="s">
        <v>257</v>
      </c>
      <c r="E1397" s="21">
        <f>0.2*E1394</f>
        <v>0.2</v>
      </c>
      <c r="F1397" s="99">
        <v>13.73</v>
      </c>
      <c r="G1397" s="40">
        <f>F1397*E1397</f>
        <v>2.75</v>
      </c>
      <c r="H1397" s="678"/>
    </row>
    <row r="1398" spans="1:9" ht="10.5" customHeight="1" thickBot="1" x14ac:dyDescent="0.25">
      <c r="A1398" s="584"/>
      <c r="B1398" s="211">
        <v>21127</v>
      </c>
      <c r="C1398" s="216" t="s">
        <v>2</v>
      </c>
      <c r="D1398" s="212" t="s">
        <v>268</v>
      </c>
      <c r="E1398" s="213">
        <v>0</v>
      </c>
      <c r="F1398" s="330">
        <v>0</v>
      </c>
      <c r="G1398" s="215">
        <f>F1398*E1398</f>
        <v>0</v>
      </c>
      <c r="H1398" s="105" t="s">
        <v>8</v>
      </c>
    </row>
    <row r="1399" spans="1:9" ht="14.25" customHeight="1" thickBot="1" x14ac:dyDescent="0.3">
      <c r="A1399" s="582" t="s">
        <v>1168</v>
      </c>
      <c r="B1399" s="307" t="s">
        <v>916</v>
      </c>
      <c r="C1399" s="506" t="s">
        <v>912</v>
      </c>
      <c r="D1399" s="411" t="s">
        <v>232</v>
      </c>
      <c r="E1399" s="471">
        <v>1</v>
      </c>
      <c r="F1399" s="413">
        <f>SUM(G1400:G1402)/E1399</f>
        <v>35.22</v>
      </c>
      <c r="G1399" s="414">
        <f>E1399*F1399</f>
        <v>35.22</v>
      </c>
      <c r="H1399" s="527">
        <f>(G1400+G1401)/E1399</f>
        <v>11.22</v>
      </c>
      <c r="I1399" s="482">
        <v>35.22</v>
      </c>
    </row>
    <row r="1400" spans="1:9" ht="10.5" customHeight="1" x14ac:dyDescent="0.25">
      <c r="A1400" s="583"/>
      <c r="B1400" s="415">
        <v>88264</v>
      </c>
      <c r="C1400" s="504" t="s">
        <v>878</v>
      </c>
      <c r="D1400" s="425" t="s">
        <v>257</v>
      </c>
      <c r="E1400" s="426">
        <v>0.35460000000000003</v>
      </c>
      <c r="F1400" s="15">
        <v>17.920000000000002</v>
      </c>
      <c r="G1400" s="428">
        <f>F1400*E1400</f>
        <v>6.35</v>
      </c>
      <c r="H1400" s="524" t="s">
        <v>9</v>
      </c>
      <c r="I1400" s="187"/>
    </row>
    <row r="1401" spans="1:9" ht="10.5" customHeight="1" thickBot="1" x14ac:dyDescent="0.3">
      <c r="A1401" s="583"/>
      <c r="B1401" s="415">
        <v>88247</v>
      </c>
      <c r="C1401" s="416" t="s">
        <v>877</v>
      </c>
      <c r="D1401" s="425" t="s">
        <v>257</v>
      </c>
      <c r="E1401" s="426">
        <v>0.35460000000000003</v>
      </c>
      <c r="F1401" s="99">
        <v>13.73</v>
      </c>
      <c r="G1401" s="428">
        <f>F1401*E1401</f>
        <v>4.87</v>
      </c>
      <c r="H1401" s="528">
        <f>F1399-H1399</f>
        <v>24</v>
      </c>
      <c r="I1401" s="187"/>
    </row>
    <row r="1402" spans="1:9" ht="10.5" customHeight="1" thickBot="1" x14ac:dyDescent="0.25">
      <c r="A1402" s="584"/>
      <c r="B1402" s="489" t="s">
        <v>16</v>
      </c>
      <c r="C1402" s="525" t="s">
        <v>912</v>
      </c>
      <c r="D1402" s="491" t="s">
        <v>232</v>
      </c>
      <c r="E1402" s="492">
        <f>1*E1399</f>
        <v>1</v>
      </c>
      <c r="F1402" s="355">
        <v>24</v>
      </c>
      <c r="G1402" s="495">
        <f>F1402*E1402</f>
        <v>24</v>
      </c>
      <c r="H1402" s="526" t="s">
        <v>8</v>
      </c>
      <c r="I1402" s="187"/>
    </row>
    <row r="1403" spans="1:9" ht="15" customHeight="1" thickBot="1" x14ac:dyDescent="0.3">
      <c r="A1403" s="582" t="s">
        <v>1169</v>
      </c>
      <c r="B1403" s="307" t="s">
        <v>917</v>
      </c>
      <c r="C1403" s="506" t="s">
        <v>913</v>
      </c>
      <c r="D1403" s="411" t="s">
        <v>268</v>
      </c>
      <c r="E1403" s="471">
        <v>1</v>
      </c>
      <c r="F1403" s="413">
        <f>SUM(G1404:G1406)/E1403</f>
        <v>8.41</v>
      </c>
      <c r="G1403" s="414">
        <f>E1403*F1403</f>
        <v>8.41</v>
      </c>
      <c r="H1403" s="527">
        <f>(G1404+G1405)/E1403</f>
        <v>4.9800000000000004</v>
      </c>
      <c r="I1403" s="482">
        <v>8.41</v>
      </c>
    </row>
    <row r="1404" spans="1:9" ht="10.5" customHeight="1" x14ac:dyDescent="0.25">
      <c r="A1404" s="583"/>
      <c r="B1404" s="415">
        <v>88264</v>
      </c>
      <c r="C1404" s="504" t="s">
        <v>878</v>
      </c>
      <c r="D1404" s="425" t="s">
        <v>257</v>
      </c>
      <c r="E1404" s="426">
        <v>0.155</v>
      </c>
      <c r="F1404" s="15">
        <v>17.920000000000002</v>
      </c>
      <c r="G1404" s="428">
        <f>F1404*E1404</f>
        <v>2.78</v>
      </c>
      <c r="H1404" s="524" t="s">
        <v>9</v>
      </c>
      <c r="I1404" s="187"/>
    </row>
    <row r="1405" spans="1:9" ht="10.5" customHeight="1" thickBot="1" x14ac:dyDescent="0.3">
      <c r="A1405" s="583"/>
      <c r="B1405" s="415">
        <v>88247</v>
      </c>
      <c r="C1405" s="416" t="s">
        <v>877</v>
      </c>
      <c r="D1405" s="425" t="s">
        <v>257</v>
      </c>
      <c r="E1405" s="426">
        <v>0.16</v>
      </c>
      <c r="F1405" s="99">
        <v>13.73</v>
      </c>
      <c r="G1405" s="428">
        <f>F1405*E1405</f>
        <v>2.2000000000000002</v>
      </c>
      <c r="H1405" s="528">
        <f>F1403-H1403</f>
        <v>3.43</v>
      </c>
      <c r="I1405" s="187"/>
    </row>
    <row r="1406" spans="1:9" ht="10.5" customHeight="1" thickBot="1" x14ac:dyDescent="0.25">
      <c r="A1406" s="584"/>
      <c r="B1406" s="489" t="s">
        <v>16</v>
      </c>
      <c r="C1406" s="525" t="s">
        <v>913</v>
      </c>
      <c r="D1406" s="491" t="s">
        <v>268</v>
      </c>
      <c r="E1406" s="492">
        <f>1*E1403</f>
        <v>1</v>
      </c>
      <c r="F1406" s="355">
        <f>2.2*1.3*1.2</f>
        <v>3.43</v>
      </c>
      <c r="G1406" s="495">
        <f>F1406*E1406</f>
        <v>3.43</v>
      </c>
      <c r="H1406" s="526" t="s">
        <v>8</v>
      </c>
      <c r="I1406" s="187"/>
    </row>
    <row r="1407" spans="1:9" ht="15" customHeight="1" thickBot="1" x14ac:dyDescent="0.3">
      <c r="A1407" s="582" t="s">
        <v>1170</v>
      </c>
      <c r="B1407" s="307" t="s">
        <v>918</v>
      </c>
      <c r="C1407" s="506" t="s">
        <v>914</v>
      </c>
      <c r="D1407" s="411" t="s">
        <v>268</v>
      </c>
      <c r="E1407" s="471">
        <v>1</v>
      </c>
      <c r="F1407" s="413">
        <f>SUM(G1408:G1410)/E1407</f>
        <v>6.78</v>
      </c>
      <c r="G1407" s="414">
        <f>E1407*F1407</f>
        <v>6.78</v>
      </c>
      <c r="H1407" s="527">
        <f>(G1408+G1409)/E1407</f>
        <v>4.75</v>
      </c>
      <c r="I1407" s="482">
        <v>6.78</v>
      </c>
    </row>
    <row r="1408" spans="1:9" ht="10.5" customHeight="1" x14ac:dyDescent="0.25">
      <c r="A1408" s="583"/>
      <c r="B1408" s="415">
        <v>88264</v>
      </c>
      <c r="C1408" s="504" t="s">
        <v>878</v>
      </c>
      <c r="D1408" s="425" t="s">
        <v>257</v>
      </c>
      <c r="E1408" s="426">
        <v>0.15</v>
      </c>
      <c r="F1408" s="15">
        <v>17.920000000000002</v>
      </c>
      <c r="G1408" s="428">
        <f>F1408*E1408</f>
        <v>2.69</v>
      </c>
      <c r="H1408" s="524" t="s">
        <v>9</v>
      </c>
      <c r="I1408" s="187"/>
    </row>
    <row r="1409" spans="1:9" ht="10.5" customHeight="1" thickBot="1" x14ac:dyDescent="0.3">
      <c r="A1409" s="583"/>
      <c r="B1409" s="415">
        <v>88247</v>
      </c>
      <c r="C1409" s="416" t="s">
        <v>877</v>
      </c>
      <c r="D1409" s="425" t="s">
        <v>257</v>
      </c>
      <c r="E1409" s="426">
        <v>0.15</v>
      </c>
      <c r="F1409" s="99">
        <v>13.73</v>
      </c>
      <c r="G1409" s="428">
        <f>F1409*E1409</f>
        <v>2.06</v>
      </c>
      <c r="H1409" s="528">
        <f>F1407-H1407</f>
        <v>2.0299999999999998</v>
      </c>
      <c r="I1409" s="187"/>
    </row>
    <row r="1410" spans="1:9" ht="10.5" customHeight="1" thickBot="1" x14ac:dyDescent="0.25">
      <c r="A1410" s="584"/>
      <c r="B1410" s="489" t="s">
        <v>16</v>
      </c>
      <c r="C1410" s="525" t="s">
        <v>914</v>
      </c>
      <c r="D1410" s="491" t="s">
        <v>268</v>
      </c>
      <c r="E1410" s="492">
        <f>1*E1407</f>
        <v>1</v>
      </c>
      <c r="F1410" s="355">
        <f>1.3*1.3*1.2</f>
        <v>2.0299999999999998</v>
      </c>
      <c r="G1410" s="495">
        <f>F1410*E1410</f>
        <v>2.0299999999999998</v>
      </c>
      <c r="H1410" s="526" t="s">
        <v>8</v>
      </c>
      <c r="I1410" s="187"/>
    </row>
    <row r="1411" spans="1:9" ht="18" customHeight="1" thickBot="1" x14ac:dyDescent="0.3">
      <c r="A1411" s="582" t="s">
        <v>1171</v>
      </c>
      <c r="B1411" s="307" t="s">
        <v>919</v>
      </c>
      <c r="C1411" s="506" t="s">
        <v>915</v>
      </c>
      <c r="D1411" s="411" t="s">
        <v>268</v>
      </c>
      <c r="E1411" s="471">
        <v>1</v>
      </c>
      <c r="F1411" s="413">
        <f>SUM(G1412:G1414)/E1411</f>
        <v>18.39</v>
      </c>
      <c r="G1411" s="414">
        <f>E1411*F1411</f>
        <v>18.39</v>
      </c>
      <c r="H1411" s="527">
        <f>(G1412+G1413)/E1411</f>
        <v>8.73</v>
      </c>
      <c r="I1411" s="482">
        <v>18.39</v>
      </c>
    </row>
    <row r="1412" spans="1:9" ht="10.5" customHeight="1" x14ac:dyDescent="0.25">
      <c r="A1412" s="583"/>
      <c r="B1412" s="415">
        <v>88264</v>
      </c>
      <c r="C1412" s="504" t="s">
        <v>878</v>
      </c>
      <c r="D1412" s="425" t="s">
        <v>257</v>
      </c>
      <c r="E1412" s="426">
        <v>0.27600000000000002</v>
      </c>
      <c r="F1412" s="15">
        <v>17.920000000000002</v>
      </c>
      <c r="G1412" s="428">
        <f>F1412*E1412</f>
        <v>4.95</v>
      </c>
      <c r="H1412" s="524" t="s">
        <v>9</v>
      </c>
    </row>
    <row r="1413" spans="1:9" ht="10.5" customHeight="1" thickBot="1" x14ac:dyDescent="0.3">
      <c r="A1413" s="583"/>
      <c r="B1413" s="415">
        <v>88247</v>
      </c>
      <c r="C1413" s="416" t="s">
        <v>877</v>
      </c>
      <c r="D1413" s="425" t="s">
        <v>257</v>
      </c>
      <c r="E1413" s="426">
        <v>0.27500000000000002</v>
      </c>
      <c r="F1413" s="99">
        <v>13.73</v>
      </c>
      <c r="G1413" s="428">
        <f>F1413*E1413</f>
        <v>3.78</v>
      </c>
      <c r="H1413" s="528">
        <f>F1411-H1411</f>
        <v>9.66</v>
      </c>
    </row>
    <row r="1414" spans="1:9" ht="10.5" customHeight="1" thickBot="1" x14ac:dyDescent="0.25">
      <c r="A1414" s="584"/>
      <c r="B1414" s="489">
        <v>7555</v>
      </c>
      <c r="C1414" s="525" t="s">
        <v>915</v>
      </c>
      <c r="D1414" s="491" t="s">
        <v>268</v>
      </c>
      <c r="E1414" s="492">
        <f>1*E1411</f>
        <v>1</v>
      </c>
      <c r="F1414" s="355">
        <f>18.57*1.3/3*1.2</f>
        <v>9.66</v>
      </c>
      <c r="G1414" s="495">
        <f>F1414*E1414</f>
        <v>9.66</v>
      </c>
      <c r="H1414" s="715"/>
    </row>
    <row r="1415" spans="1:9" ht="22.5" customHeight="1" thickBot="1" x14ac:dyDescent="0.3">
      <c r="A1415" s="582" t="s">
        <v>1172</v>
      </c>
      <c r="B1415" s="305">
        <v>83466</v>
      </c>
      <c r="C1415" s="102" t="s">
        <v>920</v>
      </c>
      <c r="D1415" s="55" t="s">
        <v>232</v>
      </c>
      <c r="E1415" s="56">
        <v>1</v>
      </c>
      <c r="F1415" s="57">
        <f>SUM(G1416:G1418)/E1415</f>
        <v>21.59</v>
      </c>
      <c r="G1415" s="103">
        <f>E1415*F1415</f>
        <v>21.59</v>
      </c>
      <c r="H1415" s="220">
        <f>I1415-H1417</f>
        <v>11.72</v>
      </c>
      <c r="I1415" s="482">
        <v>21.59</v>
      </c>
    </row>
    <row r="1416" spans="1:9" ht="22.5" x14ac:dyDescent="0.25">
      <c r="A1416" s="583"/>
      <c r="B1416" s="204">
        <v>7556</v>
      </c>
      <c r="C1416" s="205" t="s">
        <v>921</v>
      </c>
      <c r="D1416" s="206" t="s">
        <v>232</v>
      </c>
      <c r="E1416" s="207">
        <f>1*E1415</f>
        <v>1</v>
      </c>
      <c r="F1416" s="329">
        <v>9.8699999999999992</v>
      </c>
      <c r="G1416" s="209">
        <f>F1416*E1416</f>
        <v>9.8699999999999992</v>
      </c>
      <c r="H1416" s="60" t="s">
        <v>9</v>
      </c>
    </row>
    <row r="1417" spans="1:9" ht="12" thickBot="1" x14ac:dyDescent="0.3">
      <c r="A1417" s="583"/>
      <c r="B1417" s="415">
        <v>88264</v>
      </c>
      <c r="C1417" s="504" t="s">
        <v>878</v>
      </c>
      <c r="D1417" s="14" t="s">
        <v>257</v>
      </c>
      <c r="E1417" s="21">
        <f>0.3703*E1415</f>
        <v>0.37030000000000002</v>
      </c>
      <c r="F1417" s="15">
        <v>17.920000000000002</v>
      </c>
      <c r="G1417" s="40">
        <f>F1417*E1417</f>
        <v>6.64</v>
      </c>
      <c r="H1417" s="221">
        <f>G1416</f>
        <v>9.8699999999999992</v>
      </c>
    </row>
    <row r="1418" spans="1:9" ht="23.25" customHeight="1" thickBot="1" x14ac:dyDescent="0.3">
      <c r="A1418" s="584"/>
      <c r="B1418" s="415">
        <v>88247</v>
      </c>
      <c r="C1418" s="416" t="s">
        <v>877</v>
      </c>
      <c r="D1418" s="14" t="s">
        <v>257</v>
      </c>
      <c r="E1418" s="21">
        <f>0.3702*E1415</f>
        <v>0.37019999999999997</v>
      </c>
      <c r="F1418" s="99">
        <v>13.73</v>
      </c>
      <c r="G1418" s="40">
        <f>F1418*E1418</f>
        <v>5.08</v>
      </c>
      <c r="H1418" s="678"/>
    </row>
    <row r="1419" spans="1:9" ht="24" customHeight="1" thickBot="1" x14ac:dyDescent="0.3">
      <c r="A1419" s="582" t="s">
        <v>1173</v>
      </c>
      <c r="B1419" s="305">
        <v>83540</v>
      </c>
      <c r="C1419" s="102" t="s">
        <v>922</v>
      </c>
      <c r="D1419" s="55" t="s">
        <v>232</v>
      </c>
      <c r="E1419" s="56">
        <v>1</v>
      </c>
      <c r="F1419" s="57">
        <f>SUM(G1420:G1422)/E1419</f>
        <v>11.83</v>
      </c>
      <c r="G1419" s="103">
        <f>E1419*F1419</f>
        <v>11.83</v>
      </c>
      <c r="H1419" s="220">
        <f>I1419-H1421</f>
        <v>6.33</v>
      </c>
      <c r="I1419" s="482">
        <v>11.83</v>
      </c>
    </row>
    <row r="1420" spans="1:9" ht="22.5" x14ac:dyDescent="0.25">
      <c r="A1420" s="583"/>
      <c r="B1420" s="204">
        <v>7528</v>
      </c>
      <c r="C1420" s="205" t="s">
        <v>1297</v>
      </c>
      <c r="D1420" s="206" t="s">
        <v>232</v>
      </c>
      <c r="E1420" s="207">
        <f>1*E1419</f>
        <v>1</v>
      </c>
      <c r="F1420" s="329">
        <v>5.5</v>
      </c>
      <c r="G1420" s="209">
        <f>F1420*E1420</f>
        <v>5.5</v>
      </c>
      <c r="H1420" s="60" t="s">
        <v>9</v>
      </c>
    </row>
    <row r="1421" spans="1:9" ht="12" thickBot="1" x14ac:dyDescent="0.3">
      <c r="A1421" s="583"/>
      <c r="B1421" s="415">
        <v>88264</v>
      </c>
      <c r="C1421" s="504" t="s">
        <v>878</v>
      </c>
      <c r="D1421" s="14" t="s">
        <v>257</v>
      </c>
      <c r="E1421" s="21">
        <f>0.2*E1419</f>
        <v>0.2</v>
      </c>
      <c r="F1421" s="15">
        <v>17.920000000000002</v>
      </c>
      <c r="G1421" s="40">
        <f>F1421*E1421</f>
        <v>3.58</v>
      </c>
      <c r="H1421" s="221">
        <f>G1420</f>
        <v>5.5</v>
      </c>
    </row>
    <row r="1422" spans="1:9" ht="23.25" customHeight="1" thickBot="1" x14ac:dyDescent="0.3">
      <c r="A1422" s="584"/>
      <c r="B1422" s="415">
        <v>88247</v>
      </c>
      <c r="C1422" s="416" t="s">
        <v>877</v>
      </c>
      <c r="D1422" s="14" t="s">
        <v>257</v>
      </c>
      <c r="E1422" s="21">
        <f>0.2*E1419</f>
        <v>0.2</v>
      </c>
      <c r="F1422" s="99">
        <v>13.73</v>
      </c>
      <c r="G1422" s="40">
        <f>F1422*E1422</f>
        <v>2.75</v>
      </c>
      <c r="H1422" s="678"/>
    </row>
    <row r="1423" spans="1:9" ht="20.25" customHeight="1" thickBot="1" x14ac:dyDescent="0.3">
      <c r="A1423" s="582" t="s">
        <v>1174</v>
      </c>
      <c r="B1423" s="305">
        <v>83566</v>
      </c>
      <c r="C1423" s="102" t="s">
        <v>1298</v>
      </c>
      <c r="D1423" s="55" t="s">
        <v>232</v>
      </c>
      <c r="E1423" s="56">
        <v>1</v>
      </c>
      <c r="F1423" s="57">
        <f>SUM(G1424:G1426)/E1423</f>
        <v>19.21</v>
      </c>
      <c r="G1423" s="103">
        <f>E1423*F1423</f>
        <v>19.21</v>
      </c>
      <c r="H1423" s="220">
        <f>I1423-H1425</f>
        <v>6.34</v>
      </c>
      <c r="I1423" s="482">
        <v>19.2</v>
      </c>
    </row>
    <row r="1424" spans="1:9" ht="22.5" customHeight="1" x14ac:dyDescent="0.25">
      <c r="A1424" s="583"/>
      <c r="B1424" s="204">
        <v>7529</v>
      </c>
      <c r="C1424" s="205" t="s">
        <v>647</v>
      </c>
      <c r="D1424" s="206" t="s">
        <v>232</v>
      </c>
      <c r="E1424" s="207">
        <f>1*E1423</f>
        <v>1</v>
      </c>
      <c r="F1424" s="329">
        <v>12.86</v>
      </c>
      <c r="G1424" s="209">
        <f>F1424*E1424</f>
        <v>12.86</v>
      </c>
      <c r="H1424" s="60" t="s">
        <v>9</v>
      </c>
    </row>
    <row r="1425" spans="1:9" ht="12" thickBot="1" x14ac:dyDescent="0.3">
      <c r="A1425" s="583"/>
      <c r="B1425" s="415">
        <v>88264</v>
      </c>
      <c r="C1425" s="504" t="s">
        <v>878</v>
      </c>
      <c r="D1425" s="14" t="s">
        <v>257</v>
      </c>
      <c r="E1425" s="21">
        <f>0.201*E1423</f>
        <v>0.20100000000000001</v>
      </c>
      <c r="F1425" s="15">
        <v>17.920000000000002</v>
      </c>
      <c r="G1425" s="40">
        <f>F1425*E1425</f>
        <v>3.6</v>
      </c>
      <c r="H1425" s="221">
        <f>G1424</f>
        <v>12.86</v>
      </c>
    </row>
    <row r="1426" spans="1:9" ht="12" thickBot="1" x14ac:dyDescent="0.3">
      <c r="A1426" s="584"/>
      <c r="B1426" s="415">
        <v>88247</v>
      </c>
      <c r="C1426" s="416" t="s">
        <v>877</v>
      </c>
      <c r="D1426" s="14" t="s">
        <v>257</v>
      </c>
      <c r="E1426" s="21">
        <f>0.2*E1423</f>
        <v>0.2</v>
      </c>
      <c r="F1426" s="99">
        <v>13.73</v>
      </c>
      <c r="G1426" s="40">
        <f>F1426*E1426</f>
        <v>2.75</v>
      </c>
      <c r="H1426" s="678"/>
    </row>
    <row r="1427" spans="1:9" ht="22.5" customHeight="1" thickBot="1" x14ac:dyDescent="0.3">
      <c r="A1427" s="582" t="s">
        <v>1175</v>
      </c>
      <c r="B1427" s="305">
        <v>83555</v>
      </c>
      <c r="C1427" s="102" t="s">
        <v>1299</v>
      </c>
      <c r="D1427" s="55" t="s">
        <v>232</v>
      </c>
      <c r="E1427" s="56">
        <v>1</v>
      </c>
      <c r="F1427" s="57">
        <f>SUM(G1428:G1430)/E1427</f>
        <v>21.11</v>
      </c>
      <c r="G1427" s="103">
        <f>E1427*F1427</f>
        <v>21.11</v>
      </c>
      <c r="H1427" s="220">
        <f>I1427-H1429</f>
        <v>11.72</v>
      </c>
      <c r="I1427" s="482">
        <v>21.11</v>
      </c>
    </row>
    <row r="1428" spans="1:9" ht="22.5" x14ac:dyDescent="0.25">
      <c r="A1428" s="583"/>
      <c r="B1428" s="204">
        <v>7535</v>
      </c>
      <c r="C1428" s="205" t="s">
        <v>1300</v>
      </c>
      <c r="D1428" s="206" t="s">
        <v>232</v>
      </c>
      <c r="E1428" s="207">
        <f>1*E1427</f>
        <v>1</v>
      </c>
      <c r="F1428" s="329">
        <v>9.39</v>
      </c>
      <c r="G1428" s="209">
        <f>F1428*E1428</f>
        <v>9.39</v>
      </c>
      <c r="H1428" s="60" t="s">
        <v>9</v>
      </c>
    </row>
    <row r="1429" spans="1:9" ht="12" thickBot="1" x14ac:dyDescent="0.3">
      <c r="A1429" s="583"/>
      <c r="B1429" s="415">
        <v>88264</v>
      </c>
      <c r="C1429" s="504" t="s">
        <v>878</v>
      </c>
      <c r="D1429" s="14" t="s">
        <v>257</v>
      </c>
      <c r="E1429" s="21">
        <f>0.3703*E1427</f>
        <v>0.37030000000000002</v>
      </c>
      <c r="F1429" s="15">
        <v>17.920000000000002</v>
      </c>
      <c r="G1429" s="40">
        <f>F1429*E1429</f>
        <v>6.64</v>
      </c>
      <c r="H1429" s="221">
        <f>G1428</f>
        <v>9.39</v>
      </c>
    </row>
    <row r="1430" spans="1:9" ht="22.5" customHeight="1" thickBot="1" x14ac:dyDescent="0.3">
      <c r="A1430" s="584"/>
      <c r="B1430" s="415">
        <v>88247</v>
      </c>
      <c r="C1430" s="416" t="s">
        <v>877</v>
      </c>
      <c r="D1430" s="14" t="s">
        <v>257</v>
      </c>
      <c r="E1430" s="21">
        <f>0.3703*E1427</f>
        <v>0.37030000000000002</v>
      </c>
      <c r="F1430" s="99">
        <v>13.73</v>
      </c>
      <c r="G1430" s="40">
        <f>F1430*E1430</f>
        <v>5.08</v>
      </c>
      <c r="H1430" s="678"/>
    </row>
    <row r="1431" spans="1:9" ht="24" customHeight="1" thickBot="1" x14ac:dyDescent="0.3">
      <c r="A1431" s="582" t="s">
        <v>1176</v>
      </c>
      <c r="B1431" s="305">
        <v>72331</v>
      </c>
      <c r="C1431" s="102" t="s">
        <v>1301</v>
      </c>
      <c r="D1431" s="55" t="s">
        <v>232</v>
      </c>
      <c r="E1431" s="56">
        <v>1</v>
      </c>
      <c r="F1431" s="57">
        <f>SUM(G1432:G1434)/E1431</f>
        <v>10.08</v>
      </c>
      <c r="G1431" s="65">
        <f>E1431*F1431</f>
        <v>10.08</v>
      </c>
      <c r="H1431" s="277">
        <f>I1431-H1433</f>
        <v>6.54</v>
      </c>
      <c r="I1431" s="482">
        <v>10.08</v>
      </c>
    </row>
    <row r="1432" spans="1:9" ht="22.5" x14ac:dyDescent="0.25">
      <c r="A1432" s="583"/>
      <c r="B1432" s="204">
        <v>7564</v>
      </c>
      <c r="C1432" s="205" t="s">
        <v>1302</v>
      </c>
      <c r="D1432" s="206" t="s">
        <v>232</v>
      </c>
      <c r="E1432" s="207">
        <f>1*E1431</f>
        <v>1</v>
      </c>
      <c r="F1432" s="329">
        <v>3.54</v>
      </c>
      <c r="G1432" s="210">
        <f>F1432*E1432</f>
        <v>3.54</v>
      </c>
      <c r="H1432" s="64" t="s">
        <v>9</v>
      </c>
    </row>
    <row r="1433" spans="1:9" ht="12" thickBot="1" x14ac:dyDescent="0.3">
      <c r="A1433" s="583"/>
      <c r="B1433" s="415">
        <v>88264</v>
      </c>
      <c r="C1433" s="504" t="s">
        <v>878</v>
      </c>
      <c r="D1433" s="14" t="s">
        <v>257</v>
      </c>
      <c r="E1433" s="21">
        <f>0.25*E1431</f>
        <v>0.25</v>
      </c>
      <c r="F1433" s="15">
        <v>17.920000000000002</v>
      </c>
      <c r="G1433" s="33">
        <f>F1433*E1433</f>
        <v>4.4800000000000004</v>
      </c>
      <c r="H1433" s="276">
        <f>G1432</f>
        <v>3.54</v>
      </c>
    </row>
    <row r="1434" spans="1:9" ht="26.25" customHeight="1" thickBot="1" x14ac:dyDescent="0.3">
      <c r="A1434" s="584"/>
      <c r="B1434" s="419">
        <v>88247</v>
      </c>
      <c r="C1434" s="420" t="s">
        <v>877</v>
      </c>
      <c r="D1434" s="36" t="s">
        <v>257</v>
      </c>
      <c r="E1434" s="37">
        <f>0.15*E1431</f>
        <v>0.15</v>
      </c>
      <c r="F1434" s="100">
        <v>13.73</v>
      </c>
      <c r="G1434" s="39">
        <f>F1434*E1434</f>
        <v>2.06</v>
      </c>
      <c r="H1434" s="678"/>
    </row>
    <row r="1435" spans="1:9" ht="23.25" thickBot="1" x14ac:dyDescent="0.3">
      <c r="A1435" s="582" t="s">
        <v>1177</v>
      </c>
      <c r="B1435" s="305" t="s">
        <v>648</v>
      </c>
      <c r="C1435" s="102" t="s">
        <v>1303</v>
      </c>
      <c r="D1435" s="55" t="s">
        <v>232</v>
      </c>
      <c r="E1435" s="56">
        <v>1</v>
      </c>
      <c r="F1435" s="57">
        <f>SUM(G1436:G1438)/E1435</f>
        <v>579.49</v>
      </c>
      <c r="G1435" s="103">
        <f>E1435*F1435</f>
        <v>579.49</v>
      </c>
      <c r="H1435" s="220">
        <f>I1435-H1437</f>
        <v>126.74</v>
      </c>
      <c r="I1435" s="482">
        <v>579.49</v>
      </c>
    </row>
    <row r="1436" spans="1:9" ht="33.75" x14ac:dyDescent="0.25">
      <c r="A1436" s="583"/>
      <c r="B1436" s="204">
        <v>5097</v>
      </c>
      <c r="C1436" s="205" t="s">
        <v>649</v>
      </c>
      <c r="D1436" s="206" t="s">
        <v>232</v>
      </c>
      <c r="E1436" s="207">
        <f>1*E1435</f>
        <v>1</v>
      </c>
      <c r="F1436" s="329">
        <v>452.75</v>
      </c>
      <c r="G1436" s="209">
        <f>F1436*E1436</f>
        <v>452.75</v>
      </c>
      <c r="H1436" s="60" t="s">
        <v>9</v>
      </c>
    </row>
    <row r="1437" spans="1:9" ht="12" thickBot="1" x14ac:dyDescent="0.3">
      <c r="A1437" s="583"/>
      <c r="B1437" s="415">
        <v>88264</v>
      </c>
      <c r="C1437" s="504" t="s">
        <v>878</v>
      </c>
      <c r="D1437" s="14" t="s">
        <v>257</v>
      </c>
      <c r="E1437" s="21">
        <f>4.004*E1435</f>
        <v>4.0039999999999996</v>
      </c>
      <c r="F1437" s="15">
        <v>17.920000000000002</v>
      </c>
      <c r="G1437" s="33">
        <f>F1437*E1437</f>
        <v>71.75</v>
      </c>
      <c r="H1437" s="221">
        <f>G1436</f>
        <v>452.75</v>
      </c>
    </row>
    <row r="1438" spans="1:9" ht="25.5" customHeight="1" thickBot="1" x14ac:dyDescent="0.3">
      <c r="A1438" s="584"/>
      <c r="B1438" s="419">
        <v>88247</v>
      </c>
      <c r="C1438" s="420" t="s">
        <v>877</v>
      </c>
      <c r="D1438" s="36" t="s">
        <v>257</v>
      </c>
      <c r="E1438" s="37">
        <f>4.005*E1435</f>
        <v>4.0049999999999999</v>
      </c>
      <c r="F1438" s="100">
        <v>13.73</v>
      </c>
      <c r="G1438" s="39">
        <f>F1438*E1438</f>
        <v>54.99</v>
      </c>
      <c r="H1438" s="678"/>
    </row>
    <row r="1439" spans="1:9" ht="23.25" thickBot="1" x14ac:dyDescent="0.3">
      <c r="A1439" s="582" t="s">
        <v>1178</v>
      </c>
      <c r="B1439" s="305" t="s">
        <v>650</v>
      </c>
      <c r="C1439" s="102" t="s">
        <v>1304</v>
      </c>
      <c r="D1439" s="55" t="s">
        <v>232</v>
      </c>
      <c r="E1439" s="56">
        <v>1</v>
      </c>
      <c r="F1439" s="57">
        <f>SUM(G1440:G1442)/E1439</f>
        <v>859.24</v>
      </c>
      <c r="G1439" s="103">
        <f>E1439*F1439</f>
        <v>859.24</v>
      </c>
      <c r="H1439" s="220">
        <f>I1439-H1441</f>
        <v>190.11</v>
      </c>
      <c r="I1439" s="482">
        <v>859.24</v>
      </c>
    </row>
    <row r="1440" spans="1:9" ht="33.75" x14ac:dyDescent="0.25">
      <c r="A1440" s="583"/>
      <c r="B1440" s="204">
        <v>12043</v>
      </c>
      <c r="C1440" s="205" t="s">
        <v>651</v>
      </c>
      <c r="D1440" s="206" t="s">
        <v>232</v>
      </c>
      <c r="E1440" s="207">
        <f>1*E1439</f>
        <v>1</v>
      </c>
      <c r="F1440" s="329">
        <v>669.13</v>
      </c>
      <c r="G1440" s="209">
        <f>F1440*E1440</f>
        <v>669.13</v>
      </c>
      <c r="H1440" s="60" t="s">
        <v>9</v>
      </c>
    </row>
    <row r="1441" spans="1:8" ht="12" thickBot="1" x14ac:dyDescent="0.3">
      <c r="A1441" s="583"/>
      <c r="B1441" s="415">
        <v>88264</v>
      </c>
      <c r="C1441" s="504" t="s">
        <v>878</v>
      </c>
      <c r="D1441" s="14" t="s">
        <v>257</v>
      </c>
      <c r="E1441" s="21">
        <f>6.006*E1439</f>
        <v>6.0060000000000002</v>
      </c>
      <c r="F1441" s="15">
        <v>17.920000000000002</v>
      </c>
      <c r="G1441" s="33">
        <f>F1441*E1441</f>
        <v>107.63</v>
      </c>
      <c r="H1441" s="221">
        <f>G1440</f>
        <v>669.13</v>
      </c>
    </row>
    <row r="1442" spans="1:8" ht="26.25" customHeight="1" thickBot="1" x14ac:dyDescent="0.3">
      <c r="A1442" s="584"/>
      <c r="B1442" s="419">
        <v>88247</v>
      </c>
      <c r="C1442" s="420" t="s">
        <v>877</v>
      </c>
      <c r="D1442" s="36" t="s">
        <v>257</v>
      </c>
      <c r="E1442" s="37">
        <f>6.007*E1439</f>
        <v>6.0069999999999997</v>
      </c>
      <c r="F1442" s="100">
        <v>13.73</v>
      </c>
      <c r="G1442" s="39">
        <f>F1442*E1442</f>
        <v>82.48</v>
      </c>
      <c r="H1442" s="678"/>
    </row>
    <row r="1443" spans="1:8" ht="12" thickBot="1" x14ac:dyDescent="0.3">
      <c r="A1443" s="582" t="s">
        <v>1179</v>
      </c>
      <c r="B1443" s="307" t="s">
        <v>934</v>
      </c>
      <c r="C1443" s="506" t="s">
        <v>923</v>
      </c>
      <c r="D1443" s="411" t="s">
        <v>232</v>
      </c>
      <c r="E1443" s="471">
        <v>1</v>
      </c>
      <c r="F1443" s="413">
        <f>SUM(G1444:G1445)/E1443</f>
        <v>0.71</v>
      </c>
      <c r="G1443" s="414">
        <f t="shared" ref="G1443:G1453" si="176">E1443*F1443</f>
        <v>0.71</v>
      </c>
      <c r="H1443" s="530">
        <v>0.71</v>
      </c>
    </row>
    <row r="1444" spans="1:8" x14ac:dyDescent="0.25">
      <c r="A1444" s="583"/>
      <c r="B1444" s="415">
        <v>88247</v>
      </c>
      <c r="C1444" s="416" t="s">
        <v>877</v>
      </c>
      <c r="D1444" s="417" t="s">
        <v>257</v>
      </c>
      <c r="E1444" s="503">
        <v>0.04</v>
      </c>
      <c r="F1444" s="26">
        <v>13.73</v>
      </c>
      <c r="G1444" s="418">
        <f>E1444*F1444</f>
        <v>0.55000000000000004</v>
      </c>
      <c r="H1444" s="678"/>
    </row>
    <row r="1445" spans="1:8" ht="23.25" thickBot="1" x14ac:dyDescent="0.3">
      <c r="A1445" s="584"/>
      <c r="B1445" s="489">
        <v>13348</v>
      </c>
      <c r="C1445" s="529" t="s">
        <v>942</v>
      </c>
      <c r="D1445" s="491" t="s">
        <v>268</v>
      </c>
      <c r="E1445" s="492">
        <f>1*E1443</f>
        <v>1</v>
      </c>
      <c r="F1445" s="355">
        <v>0.16</v>
      </c>
      <c r="G1445" s="495">
        <f>E1445*F1445</f>
        <v>0.16</v>
      </c>
      <c r="H1445" s="678"/>
    </row>
    <row r="1446" spans="1:8" ht="12" thickBot="1" x14ac:dyDescent="0.3">
      <c r="A1446" s="582" t="s">
        <v>1180</v>
      </c>
      <c r="B1446" s="307" t="s">
        <v>935</v>
      </c>
      <c r="C1446" s="506" t="s">
        <v>925</v>
      </c>
      <c r="D1446" s="411" t="s">
        <v>232</v>
      </c>
      <c r="E1446" s="471">
        <v>1</v>
      </c>
      <c r="F1446" s="413">
        <f>SUM(G1447:G1448)/E1446</f>
        <v>0.73</v>
      </c>
      <c r="G1446" s="414">
        <f>E1446*F1446</f>
        <v>0.73</v>
      </c>
      <c r="H1446" s="530">
        <v>0.73</v>
      </c>
    </row>
    <row r="1447" spans="1:8" ht="25.5" customHeight="1" thickBot="1" x14ac:dyDescent="0.3">
      <c r="A1447" s="583"/>
      <c r="B1447" s="419">
        <v>88247</v>
      </c>
      <c r="C1447" s="420" t="s">
        <v>877</v>
      </c>
      <c r="D1447" s="417" t="s">
        <v>257</v>
      </c>
      <c r="E1447" s="503">
        <v>0.04</v>
      </c>
      <c r="F1447" s="99">
        <v>13.73</v>
      </c>
      <c r="G1447" s="418">
        <f>E1447*F1447</f>
        <v>0.55000000000000004</v>
      </c>
      <c r="H1447" s="677"/>
    </row>
    <row r="1448" spans="1:8" ht="23.25" thickBot="1" x14ac:dyDescent="0.3">
      <c r="A1448" s="584"/>
      <c r="B1448" s="489">
        <v>13348</v>
      </c>
      <c r="C1448" s="529" t="s">
        <v>1305</v>
      </c>
      <c r="D1448" s="491" t="s">
        <v>268</v>
      </c>
      <c r="E1448" s="492">
        <f>1*E1445</f>
        <v>1</v>
      </c>
      <c r="F1448" s="355">
        <v>0.18</v>
      </c>
      <c r="G1448" s="495">
        <f>E1448*F1448</f>
        <v>0.18</v>
      </c>
      <c r="H1448" s="677"/>
    </row>
    <row r="1449" spans="1:8" ht="12" thickBot="1" x14ac:dyDescent="0.3">
      <c r="A1449" s="582" t="s">
        <v>1181</v>
      </c>
      <c r="B1449" s="307" t="s">
        <v>936</v>
      </c>
      <c r="C1449" s="410" t="s">
        <v>51</v>
      </c>
      <c r="D1449" s="411" t="s">
        <v>268</v>
      </c>
      <c r="E1449" s="471">
        <v>1</v>
      </c>
      <c r="F1449" s="413">
        <f>SUM(G1450:G1452)/E1449</f>
        <v>5.01</v>
      </c>
      <c r="G1449" s="414">
        <f t="shared" si="176"/>
        <v>5.01</v>
      </c>
      <c r="H1449" s="530">
        <v>5.01</v>
      </c>
    </row>
    <row r="1450" spans="1:8" x14ac:dyDescent="0.25">
      <c r="A1450" s="583"/>
      <c r="B1450" s="415">
        <v>88264</v>
      </c>
      <c r="C1450" s="504" t="s">
        <v>878</v>
      </c>
      <c r="D1450" s="417" t="s">
        <v>257</v>
      </c>
      <c r="E1450" s="503">
        <f>0.1575*E1449</f>
        <v>0.1575</v>
      </c>
      <c r="F1450" s="15">
        <v>17.920000000000002</v>
      </c>
      <c r="G1450" s="418">
        <f t="shared" si="176"/>
        <v>2.82</v>
      </c>
      <c r="H1450" s="677"/>
    </row>
    <row r="1451" spans="1:8" x14ac:dyDescent="0.25">
      <c r="A1451" s="583"/>
      <c r="B1451" s="415">
        <v>88247</v>
      </c>
      <c r="C1451" s="416" t="s">
        <v>877</v>
      </c>
      <c r="D1451" s="417" t="s">
        <v>257</v>
      </c>
      <c r="E1451" s="503">
        <f>0.157*E1449</f>
        <v>0.157</v>
      </c>
      <c r="F1451" s="26">
        <v>13.73</v>
      </c>
      <c r="G1451" s="418">
        <f t="shared" si="176"/>
        <v>2.16</v>
      </c>
      <c r="H1451" s="677"/>
    </row>
    <row r="1452" spans="1:8" ht="12" thickBot="1" x14ac:dyDescent="0.3">
      <c r="A1452" s="584"/>
      <c r="B1452" s="489">
        <v>11945</v>
      </c>
      <c r="C1452" s="531" t="s">
        <v>926</v>
      </c>
      <c r="D1452" s="491" t="s">
        <v>268</v>
      </c>
      <c r="E1452" s="492">
        <f>1*E1449</f>
        <v>1</v>
      </c>
      <c r="F1452" s="355">
        <v>0.03</v>
      </c>
      <c r="G1452" s="495">
        <f t="shared" si="176"/>
        <v>0.03</v>
      </c>
      <c r="H1452" s="677"/>
    </row>
    <row r="1453" spans="1:8" ht="23.25" thickBot="1" x14ac:dyDescent="0.3">
      <c r="A1453" s="582" t="s">
        <v>1182</v>
      </c>
      <c r="B1453" s="307" t="s">
        <v>937</v>
      </c>
      <c r="C1453" s="410" t="s">
        <v>52</v>
      </c>
      <c r="D1453" s="411" t="s">
        <v>268</v>
      </c>
      <c r="E1453" s="471">
        <v>1</v>
      </c>
      <c r="F1453" s="413">
        <f>SUM(G1454:G1455)/E1453</f>
        <v>1.1499999999999999</v>
      </c>
      <c r="G1453" s="414">
        <f t="shared" si="176"/>
        <v>1.1499999999999999</v>
      </c>
      <c r="H1453" s="530">
        <v>1.1499999999999999</v>
      </c>
    </row>
    <row r="1454" spans="1:8" x14ac:dyDescent="0.25">
      <c r="A1454" s="583"/>
      <c r="B1454" s="415">
        <v>88247</v>
      </c>
      <c r="C1454" s="416" t="s">
        <v>877</v>
      </c>
      <c r="D1454" s="417" t="s">
        <v>257</v>
      </c>
      <c r="E1454" s="503">
        <f>0.0795*E1453</f>
        <v>7.9500000000000001E-2</v>
      </c>
      <c r="F1454" s="26">
        <v>13.73</v>
      </c>
      <c r="G1454" s="418">
        <f>F1454*E1454</f>
        <v>1.0900000000000001</v>
      </c>
      <c r="H1454" s="677"/>
    </row>
    <row r="1455" spans="1:8" ht="23.25" thickBot="1" x14ac:dyDescent="0.3">
      <c r="A1455" s="584"/>
      <c r="B1455" s="350">
        <v>11055</v>
      </c>
      <c r="C1455" s="529" t="s">
        <v>53</v>
      </c>
      <c r="D1455" s="491" t="s">
        <v>268</v>
      </c>
      <c r="E1455" s="492">
        <f>1*E1453</f>
        <v>1</v>
      </c>
      <c r="F1455" s="355">
        <v>0.06</v>
      </c>
      <c r="G1455" s="495">
        <f>F1455*E1455</f>
        <v>0.06</v>
      </c>
      <c r="H1455" s="677"/>
    </row>
    <row r="1456" spans="1:8" ht="23.25" thickBot="1" x14ac:dyDescent="0.3">
      <c r="A1456" s="582" t="s">
        <v>1183</v>
      </c>
      <c r="B1456" s="307" t="s">
        <v>938</v>
      </c>
      <c r="C1456" s="506" t="s">
        <v>927</v>
      </c>
      <c r="D1456" s="411" t="s">
        <v>268</v>
      </c>
      <c r="E1456" s="471">
        <v>1</v>
      </c>
      <c r="F1456" s="413">
        <f>SUM(G1457:G1458)/E1456</f>
        <v>1.62</v>
      </c>
      <c r="G1456" s="414">
        <f>E1456*F1456</f>
        <v>1.62</v>
      </c>
      <c r="H1456" s="530">
        <v>1.62</v>
      </c>
    </row>
    <row r="1457" spans="1:8" x14ac:dyDescent="0.25">
      <c r="A1457" s="583"/>
      <c r="B1457" s="415">
        <v>88247</v>
      </c>
      <c r="C1457" s="416" t="s">
        <v>877</v>
      </c>
      <c r="D1457" s="417" t="s">
        <v>257</v>
      </c>
      <c r="E1457" s="503">
        <v>9.5699999999999993E-2</v>
      </c>
      <c r="F1457" s="26">
        <v>13.73</v>
      </c>
      <c r="G1457" s="418">
        <f>F1457*E1457</f>
        <v>1.31</v>
      </c>
      <c r="H1457" s="677"/>
    </row>
    <row r="1458" spans="1:8" ht="23.25" thickBot="1" x14ac:dyDescent="0.3">
      <c r="A1458" s="584"/>
      <c r="B1458" s="350">
        <v>11058</v>
      </c>
      <c r="C1458" s="529" t="s">
        <v>928</v>
      </c>
      <c r="D1458" s="491" t="s">
        <v>268</v>
      </c>
      <c r="E1458" s="492">
        <f>1*E1456</f>
        <v>1</v>
      </c>
      <c r="F1458" s="355">
        <v>0.31</v>
      </c>
      <c r="G1458" s="495">
        <f>F1458*E1458</f>
        <v>0.31</v>
      </c>
      <c r="H1458" s="677"/>
    </row>
    <row r="1459" spans="1:8" ht="23.25" thickBot="1" x14ac:dyDescent="0.3">
      <c r="A1459" s="582" t="s">
        <v>1184</v>
      </c>
      <c r="B1459" s="307" t="s">
        <v>939</v>
      </c>
      <c r="C1459" s="532" t="s">
        <v>929</v>
      </c>
      <c r="D1459" s="411" t="s">
        <v>268</v>
      </c>
      <c r="E1459" s="471">
        <v>1</v>
      </c>
      <c r="F1459" s="413">
        <f>SUM(G1460:G1461)/E1459</f>
        <v>2.09</v>
      </c>
      <c r="G1459" s="414">
        <f>E1459*F1459</f>
        <v>2.09</v>
      </c>
      <c r="H1459" s="530">
        <v>2.09</v>
      </c>
    </row>
    <row r="1460" spans="1:8" x14ac:dyDescent="0.25">
      <c r="A1460" s="583"/>
      <c r="B1460" s="415">
        <v>88247</v>
      </c>
      <c r="C1460" s="416" t="s">
        <v>877</v>
      </c>
      <c r="D1460" s="417" t="s">
        <v>257</v>
      </c>
      <c r="E1460" s="503">
        <v>0.1195</v>
      </c>
      <c r="F1460" s="26">
        <v>13.73</v>
      </c>
      <c r="G1460" s="418">
        <f>F1460*E1460</f>
        <v>1.64</v>
      </c>
      <c r="H1460" s="677"/>
    </row>
    <row r="1461" spans="1:8" ht="23.25" thickBot="1" x14ac:dyDescent="0.3">
      <c r="A1461" s="584"/>
      <c r="B1461" s="350"/>
      <c r="C1461" s="525" t="s">
        <v>929</v>
      </c>
      <c r="D1461" s="491" t="s">
        <v>268</v>
      </c>
      <c r="E1461" s="492">
        <f>1*E1459</f>
        <v>1</v>
      </c>
      <c r="F1461" s="355">
        <v>0.45</v>
      </c>
      <c r="G1461" s="495">
        <f>F1461*E1461</f>
        <v>0.45</v>
      </c>
      <c r="H1461" s="677"/>
    </row>
    <row r="1462" spans="1:8" ht="16.5" customHeight="1" thickBot="1" x14ac:dyDescent="0.3">
      <c r="A1462" s="582" t="s">
        <v>1185</v>
      </c>
      <c r="B1462" s="307" t="s">
        <v>940</v>
      </c>
      <c r="C1462" s="506" t="s">
        <v>930</v>
      </c>
      <c r="D1462" s="411" t="s">
        <v>268</v>
      </c>
      <c r="E1462" s="471">
        <v>1</v>
      </c>
      <c r="F1462" s="413">
        <f>SUM(G1463:G1464)/E1462</f>
        <v>0.17</v>
      </c>
      <c r="G1462" s="414">
        <f>E1462*F1462</f>
        <v>0.17</v>
      </c>
      <c r="H1462" s="530">
        <v>0.17</v>
      </c>
    </row>
    <row r="1463" spans="1:8" x14ac:dyDescent="0.25">
      <c r="A1463" s="583"/>
      <c r="B1463" s="313">
        <v>14148</v>
      </c>
      <c r="C1463" s="314" t="s">
        <v>1306</v>
      </c>
      <c r="D1463" s="315" t="s">
        <v>268</v>
      </c>
      <c r="E1463" s="316">
        <v>1</v>
      </c>
      <c r="F1463" s="317">
        <v>0.06</v>
      </c>
      <c r="G1463" s="349">
        <f>F1463*E1463</f>
        <v>0.06</v>
      </c>
      <c r="H1463" s="677"/>
    </row>
    <row r="1464" spans="1:8" ht="23.25" customHeight="1" thickBot="1" x14ac:dyDescent="0.3">
      <c r="A1464" s="584"/>
      <c r="B1464" s="419">
        <v>88247</v>
      </c>
      <c r="C1464" s="420" t="s">
        <v>877</v>
      </c>
      <c r="D1464" s="457" t="s">
        <v>257</v>
      </c>
      <c r="E1464" s="458">
        <v>8.0000000000000002E-3</v>
      </c>
      <c r="F1464" s="99">
        <v>13.73</v>
      </c>
      <c r="G1464" s="475">
        <f>F1464*E1464</f>
        <v>0.11</v>
      </c>
      <c r="H1464" s="677"/>
    </row>
    <row r="1465" spans="1:8" ht="16.5" customHeight="1" thickBot="1" x14ac:dyDescent="0.3">
      <c r="A1465" s="582" t="s">
        <v>1186</v>
      </c>
      <c r="B1465" s="307" t="s">
        <v>941</v>
      </c>
      <c r="C1465" s="506" t="s">
        <v>932</v>
      </c>
      <c r="D1465" s="411" t="s">
        <v>268</v>
      </c>
      <c r="E1465" s="471">
        <v>1</v>
      </c>
      <c r="F1465" s="413">
        <f>SUM(G1466:G1468)/E1465</f>
        <v>7.1</v>
      </c>
      <c r="G1465" s="414">
        <f>E1465*F1465</f>
        <v>7.1</v>
      </c>
      <c r="H1465" s="530">
        <v>0.46</v>
      </c>
    </row>
    <row r="1466" spans="1:8" x14ac:dyDescent="0.25">
      <c r="A1466" s="583"/>
      <c r="B1466" s="313">
        <v>4342</v>
      </c>
      <c r="C1466" s="314" t="s">
        <v>933</v>
      </c>
      <c r="D1466" s="315" t="s">
        <v>268</v>
      </c>
      <c r="E1466" s="316">
        <v>1</v>
      </c>
      <c r="F1466" s="317">
        <v>0.35</v>
      </c>
      <c r="G1466" s="349">
        <f>F1466*E1466</f>
        <v>0.35</v>
      </c>
      <c r="H1466" s="677"/>
    </row>
    <row r="1467" spans="1:8" ht="24.75" customHeight="1" thickBot="1" x14ac:dyDescent="0.3">
      <c r="A1467" s="584"/>
      <c r="B1467" s="444">
        <v>88247</v>
      </c>
      <c r="C1467" s="445" t="s">
        <v>877</v>
      </c>
      <c r="D1467" s="446" t="s">
        <v>257</v>
      </c>
      <c r="E1467" s="499">
        <v>8.0000000000000002E-3</v>
      </c>
      <c r="F1467" s="100">
        <v>13.73</v>
      </c>
      <c r="G1467" s="500">
        <f>F1467*E1467</f>
        <v>0.11</v>
      </c>
      <c r="H1467" s="677"/>
    </row>
    <row r="1468" spans="1:8" ht="16.5" customHeight="1" thickBot="1" x14ac:dyDescent="0.3">
      <c r="A1468" s="582" t="s">
        <v>1187</v>
      </c>
      <c r="B1468" s="307" t="s">
        <v>945</v>
      </c>
      <c r="C1468" s="533" t="s">
        <v>943</v>
      </c>
      <c r="D1468" s="411" t="s">
        <v>268</v>
      </c>
      <c r="E1468" s="471">
        <v>1</v>
      </c>
      <c r="F1468" s="413">
        <f>SUM(G1469:G1470)/E1468</f>
        <v>6.64</v>
      </c>
      <c r="G1468" s="414">
        <f>E1468*F1468</f>
        <v>6.64</v>
      </c>
      <c r="H1468" s="530">
        <f>6.64</f>
        <v>6.64</v>
      </c>
    </row>
    <row r="1469" spans="1:8" x14ac:dyDescent="0.25">
      <c r="A1469" s="583"/>
      <c r="B1469" s="313" t="s">
        <v>16</v>
      </c>
      <c r="C1469" s="314" t="s">
        <v>943</v>
      </c>
      <c r="D1469" s="315" t="s">
        <v>268</v>
      </c>
      <c r="E1469" s="316">
        <v>1</v>
      </c>
      <c r="F1469" s="317">
        <v>5</v>
      </c>
      <c r="G1469" s="349">
        <f>F1469*E1469</f>
        <v>5</v>
      </c>
      <c r="H1469" s="678"/>
    </row>
    <row r="1470" spans="1:8" ht="23.25" customHeight="1" thickBot="1" x14ac:dyDescent="0.3">
      <c r="A1470" s="584"/>
      <c r="B1470" s="441">
        <v>88247</v>
      </c>
      <c r="C1470" s="442" t="s">
        <v>877</v>
      </c>
      <c r="D1470" s="443" t="s">
        <v>257</v>
      </c>
      <c r="E1470" s="534">
        <v>0.1195</v>
      </c>
      <c r="F1470" s="535">
        <v>13.73</v>
      </c>
      <c r="G1470" s="536">
        <f>F1470*E1470</f>
        <v>1.64</v>
      </c>
      <c r="H1470" s="678"/>
    </row>
    <row r="1471" spans="1:8" ht="17.25" customHeight="1" thickBot="1" x14ac:dyDescent="0.3">
      <c r="A1471" s="582" t="s">
        <v>1188</v>
      </c>
      <c r="B1471" s="307" t="s">
        <v>946</v>
      </c>
      <c r="C1471" s="506" t="s">
        <v>944</v>
      </c>
      <c r="D1471" s="411" t="s">
        <v>268</v>
      </c>
      <c r="E1471" s="471">
        <v>1</v>
      </c>
      <c r="F1471" s="413">
        <f>SUM(G1472:G1474)/E1471</f>
        <v>7.48</v>
      </c>
      <c r="G1471" s="414">
        <f>E1471*F1471</f>
        <v>7.48</v>
      </c>
      <c r="H1471" s="530">
        <v>7.48</v>
      </c>
    </row>
    <row r="1472" spans="1:8" x14ac:dyDescent="0.25">
      <c r="A1472" s="583"/>
      <c r="B1472" s="415">
        <v>88264</v>
      </c>
      <c r="C1472" s="504" t="s">
        <v>878</v>
      </c>
      <c r="D1472" s="14" t="s">
        <v>257</v>
      </c>
      <c r="E1472" s="21">
        <v>0.189</v>
      </c>
      <c r="F1472" s="15">
        <v>17.920000000000002</v>
      </c>
      <c r="G1472" s="33">
        <f>F1472*E1472</f>
        <v>3.39</v>
      </c>
      <c r="H1472" s="678"/>
    </row>
    <row r="1473" spans="1:9" x14ac:dyDescent="0.25">
      <c r="A1473" s="583"/>
      <c r="B1473" s="415">
        <v>88247</v>
      </c>
      <c r="C1473" s="416" t="s">
        <v>877</v>
      </c>
      <c r="D1473" s="14" t="s">
        <v>257</v>
      </c>
      <c r="E1473" s="21">
        <v>0.189</v>
      </c>
      <c r="F1473" s="99">
        <v>13.73</v>
      </c>
      <c r="G1473" s="33">
        <f>F1473*E1473</f>
        <v>2.59</v>
      </c>
      <c r="H1473" s="678"/>
    </row>
    <row r="1474" spans="1:9" ht="12" thickBot="1" x14ac:dyDescent="0.3">
      <c r="A1474" s="584"/>
      <c r="B1474" s="350" t="s">
        <v>16</v>
      </c>
      <c r="C1474" s="529" t="s">
        <v>944</v>
      </c>
      <c r="D1474" s="491" t="s">
        <v>268</v>
      </c>
      <c r="E1474" s="492">
        <v>1</v>
      </c>
      <c r="F1474" s="355">
        <v>1.5</v>
      </c>
      <c r="G1474" s="495">
        <f>F1474*E1474</f>
        <v>1.5</v>
      </c>
      <c r="H1474" s="678"/>
    </row>
    <row r="1475" spans="1:9" ht="15" customHeight="1" thickBot="1" x14ac:dyDescent="0.3">
      <c r="A1475" s="582" t="s">
        <v>1189</v>
      </c>
      <c r="B1475" s="307" t="s">
        <v>949</v>
      </c>
      <c r="C1475" s="520" t="s">
        <v>947</v>
      </c>
      <c r="D1475" s="411" t="s">
        <v>268</v>
      </c>
      <c r="E1475" s="471">
        <v>1</v>
      </c>
      <c r="F1475" s="413">
        <f>SUM(G1476:G1478)/E1475</f>
        <v>8.23</v>
      </c>
      <c r="G1475" s="414">
        <f>E1475*F1475</f>
        <v>8.23</v>
      </c>
      <c r="H1475" s="530">
        <v>8.23</v>
      </c>
    </row>
    <row r="1476" spans="1:9" x14ac:dyDescent="0.25">
      <c r="A1476" s="583"/>
      <c r="B1476" s="415">
        <v>88264</v>
      </c>
      <c r="C1476" s="504" t="s">
        <v>878</v>
      </c>
      <c r="D1476" s="14" t="s">
        <v>257</v>
      </c>
      <c r="E1476" s="22">
        <v>0.14899999999999999</v>
      </c>
      <c r="F1476" s="15">
        <v>17.920000000000002</v>
      </c>
      <c r="G1476" s="33">
        <f>F1476*E1476</f>
        <v>2.67</v>
      </c>
      <c r="H1476" s="678"/>
    </row>
    <row r="1477" spans="1:9" x14ac:dyDescent="0.25">
      <c r="A1477" s="583"/>
      <c r="B1477" s="415">
        <v>88247</v>
      </c>
      <c r="C1477" s="416" t="s">
        <v>877</v>
      </c>
      <c r="D1477" s="14" t="s">
        <v>257</v>
      </c>
      <c r="E1477" s="22">
        <v>0.15</v>
      </c>
      <c r="F1477" s="26">
        <v>13.73</v>
      </c>
      <c r="G1477" s="33">
        <f>F1477*E1477</f>
        <v>2.06</v>
      </c>
      <c r="H1477" s="678"/>
    </row>
    <row r="1478" spans="1:9" ht="12" thickBot="1" x14ac:dyDescent="0.3">
      <c r="A1478" s="584"/>
      <c r="B1478" s="350" t="s">
        <v>16</v>
      </c>
      <c r="C1478" s="529" t="s">
        <v>947</v>
      </c>
      <c r="D1478" s="491" t="s">
        <v>268</v>
      </c>
      <c r="E1478" s="492">
        <v>1</v>
      </c>
      <c r="F1478" s="355">
        <v>3.5</v>
      </c>
      <c r="G1478" s="495">
        <f>F1478*E1478</f>
        <v>3.5</v>
      </c>
      <c r="H1478" s="678"/>
    </row>
    <row r="1479" spans="1:9" ht="16.5" customHeight="1" thickBot="1" x14ac:dyDescent="0.3">
      <c r="A1479" s="582" t="s">
        <v>1190</v>
      </c>
      <c r="B1479" s="307" t="s">
        <v>950</v>
      </c>
      <c r="C1479" s="520" t="s">
        <v>948</v>
      </c>
      <c r="D1479" s="411" t="s">
        <v>268</v>
      </c>
      <c r="E1479" s="471">
        <v>1</v>
      </c>
      <c r="F1479" s="413">
        <f>SUM(G1480:G1482)/E1479</f>
        <v>8.93</v>
      </c>
      <c r="G1479" s="414">
        <f>E1479*F1479</f>
        <v>8.93</v>
      </c>
      <c r="H1479" s="530">
        <v>8.93</v>
      </c>
    </row>
    <row r="1480" spans="1:9" x14ac:dyDescent="0.25">
      <c r="A1480" s="583"/>
      <c r="B1480" s="415">
        <v>88264</v>
      </c>
      <c r="C1480" s="504" t="s">
        <v>878</v>
      </c>
      <c r="D1480" s="14" t="s">
        <v>257</v>
      </c>
      <c r="E1480" s="22">
        <v>0.17199999999999999</v>
      </c>
      <c r="F1480" s="15">
        <v>17.920000000000002</v>
      </c>
      <c r="G1480" s="33">
        <f>F1480*E1480</f>
        <v>3.08</v>
      </c>
      <c r="H1480" s="678"/>
    </row>
    <row r="1481" spans="1:9" x14ac:dyDescent="0.25">
      <c r="A1481" s="583"/>
      <c r="B1481" s="415">
        <v>88247</v>
      </c>
      <c r="C1481" s="416" t="s">
        <v>877</v>
      </c>
      <c r="D1481" s="14" t="s">
        <v>257</v>
      </c>
      <c r="E1481" s="22">
        <v>0.17100000000000001</v>
      </c>
      <c r="F1481" s="26">
        <v>13.73</v>
      </c>
      <c r="G1481" s="33">
        <f>F1481*E1481</f>
        <v>2.35</v>
      </c>
      <c r="H1481" s="678"/>
    </row>
    <row r="1482" spans="1:9" ht="12" thickBot="1" x14ac:dyDescent="0.3">
      <c r="A1482" s="584"/>
      <c r="B1482" s="350" t="s">
        <v>16</v>
      </c>
      <c r="C1482" s="529" t="s">
        <v>947</v>
      </c>
      <c r="D1482" s="491" t="s">
        <v>268</v>
      </c>
      <c r="E1482" s="492">
        <v>1</v>
      </c>
      <c r="F1482" s="355">
        <v>3.5</v>
      </c>
      <c r="G1482" s="495">
        <f>F1482*E1482</f>
        <v>3.5</v>
      </c>
      <c r="H1482" s="678"/>
    </row>
    <row r="1483" spans="1:9" ht="23.25" thickBot="1" x14ac:dyDescent="0.3">
      <c r="A1483" s="582" t="s">
        <v>1191</v>
      </c>
      <c r="B1483" s="305">
        <v>72334</v>
      </c>
      <c r="C1483" s="102" t="s">
        <v>951</v>
      </c>
      <c r="D1483" s="55" t="s">
        <v>232</v>
      </c>
      <c r="E1483" s="56">
        <v>1</v>
      </c>
      <c r="F1483" s="57">
        <f>SUM(G1484:G1486)/E1483</f>
        <v>11.73</v>
      </c>
      <c r="G1483" s="103">
        <f>E1483*F1483</f>
        <v>11.73</v>
      </c>
      <c r="H1483" s="220">
        <f>I1483-H1485</f>
        <v>6.54</v>
      </c>
      <c r="I1483" s="482">
        <v>11.73</v>
      </c>
    </row>
    <row r="1484" spans="1:9" ht="22.5" x14ac:dyDescent="0.25">
      <c r="A1484" s="583"/>
      <c r="B1484" s="204">
        <v>7563</v>
      </c>
      <c r="C1484" s="205" t="s">
        <v>652</v>
      </c>
      <c r="D1484" s="206" t="s">
        <v>232</v>
      </c>
      <c r="E1484" s="207">
        <f>1*E1483</f>
        <v>1</v>
      </c>
      <c r="F1484" s="329">
        <v>5.19</v>
      </c>
      <c r="G1484" s="209">
        <f>F1484*E1484</f>
        <v>5.19</v>
      </c>
      <c r="H1484" s="60" t="s">
        <v>9</v>
      </c>
    </row>
    <row r="1485" spans="1:9" ht="12" thickBot="1" x14ac:dyDescent="0.3">
      <c r="A1485" s="583"/>
      <c r="B1485" s="415">
        <v>88264</v>
      </c>
      <c r="C1485" s="504" t="s">
        <v>878</v>
      </c>
      <c r="D1485" s="14" t="s">
        <v>257</v>
      </c>
      <c r="E1485" s="21">
        <f>0.2115*E1483</f>
        <v>0.21149999999999999</v>
      </c>
      <c r="F1485" s="15">
        <v>17.920000000000002</v>
      </c>
      <c r="G1485" s="40">
        <f>F1485*E1485</f>
        <v>3.79</v>
      </c>
      <c r="H1485" s="221">
        <f>G1484</f>
        <v>5.19</v>
      </c>
    </row>
    <row r="1486" spans="1:9" ht="24.75" customHeight="1" thickBot="1" x14ac:dyDescent="0.3">
      <c r="A1486" s="584"/>
      <c r="B1486" s="415">
        <v>88247</v>
      </c>
      <c r="C1486" s="416" t="s">
        <v>877</v>
      </c>
      <c r="D1486" s="14" t="s">
        <v>257</v>
      </c>
      <c r="E1486" s="21">
        <f>0.2*E1483</f>
        <v>0.2</v>
      </c>
      <c r="F1486" s="26">
        <v>13.73</v>
      </c>
      <c r="G1486" s="40">
        <f>F1486*E1486</f>
        <v>2.75</v>
      </c>
      <c r="H1486" s="678"/>
    </row>
    <row r="1487" spans="1:9" ht="23.25" thickBot="1" x14ac:dyDescent="0.3">
      <c r="A1487" s="582" t="s">
        <v>1192</v>
      </c>
      <c r="B1487" s="305">
        <v>84542</v>
      </c>
      <c r="C1487" s="102" t="s">
        <v>1307</v>
      </c>
      <c r="D1487" s="55" t="s">
        <v>232</v>
      </c>
      <c r="E1487" s="56">
        <v>1</v>
      </c>
      <c r="F1487" s="57">
        <f>SUM(G1488:G1490)/E1487</f>
        <v>29.16</v>
      </c>
      <c r="G1487" s="103">
        <f>E1487*F1487</f>
        <v>29.16</v>
      </c>
      <c r="H1487" s="220">
        <f>I1487-H1489</f>
        <v>16.79</v>
      </c>
      <c r="I1487" s="482">
        <v>29.16</v>
      </c>
    </row>
    <row r="1488" spans="1:9" ht="22.5" x14ac:dyDescent="0.25">
      <c r="A1488" s="583"/>
      <c r="B1488" s="204">
        <v>7567</v>
      </c>
      <c r="C1488" s="205" t="s">
        <v>1308</v>
      </c>
      <c r="D1488" s="206" t="s">
        <v>232</v>
      </c>
      <c r="E1488" s="207">
        <f>1*E1487</f>
        <v>1</v>
      </c>
      <c r="F1488" s="329">
        <v>12.37</v>
      </c>
      <c r="G1488" s="209">
        <f>F1488*E1488</f>
        <v>12.37</v>
      </c>
      <c r="H1488" s="60" t="s">
        <v>9</v>
      </c>
    </row>
    <row r="1489" spans="1:9" ht="12" thickBot="1" x14ac:dyDescent="0.3">
      <c r="A1489" s="583"/>
      <c r="B1489" s="415">
        <v>88264</v>
      </c>
      <c r="C1489" s="504" t="s">
        <v>878</v>
      </c>
      <c r="D1489" s="14" t="s">
        <v>257</v>
      </c>
      <c r="E1489" s="21">
        <f>0.5305*E1487</f>
        <v>0.53049999999999997</v>
      </c>
      <c r="F1489" s="15">
        <v>17.920000000000002</v>
      </c>
      <c r="G1489" s="40">
        <f>F1489*E1489</f>
        <v>9.51</v>
      </c>
      <c r="H1489" s="221">
        <f>G1488</f>
        <v>12.37</v>
      </c>
    </row>
    <row r="1490" spans="1:9" ht="24.75" customHeight="1" thickBot="1" x14ac:dyDescent="0.3">
      <c r="A1490" s="584"/>
      <c r="B1490" s="415">
        <v>88247</v>
      </c>
      <c r="C1490" s="416" t="s">
        <v>877</v>
      </c>
      <c r="D1490" s="14" t="s">
        <v>257</v>
      </c>
      <c r="E1490" s="21">
        <f>0.53*E1487</f>
        <v>0.53</v>
      </c>
      <c r="F1490" s="26">
        <v>13.73</v>
      </c>
      <c r="G1490" s="40">
        <f>F1490*E1490</f>
        <v>7.28</v>
      </c>
      <c r="H1490" s="678"/>
    </row>
    <row r="1491" spans="1:9" ht="21.75" customHeight="1" thickBot="1" x14ac:dyDescent="0.3">
      <c r="A1491" s="582" t="s">
        <v>1193</v>
      </c>
      <c r="B1491" s="305">
        <v>72332</v>
      </c>
      <c r="C1491" s="102" t="s">
        <v>1309</v>
      </c>
      <c r="D1491" s="55" t="s">
        <v>232</v>
      </c>
      <c r="E1491" s="56">
        <v>1</v>
      </c>
      <c r="F1491" s="57">
        <f>SUM(G1492:G1494)/E1491</f>
        <v>18.61</v>
      </c>
      <c r="G1491" s="65">
        <f>E1491*F1491</f>
        <v>18.61</v>
      </c>
      <c r="H1491" s="277">
        <f>I1491-H1493</f>
        <v>9.7100000000000009</v>
      </c>
      <c r="I1491" s="482">
        <v>18.61</v>
      </c>
    </row>
    <row r="1492" spans="1:9" ht="22.5" x14ac:dyDescent="0.25">
      <c r="A1492" s="583"/>
      <c r="B1492" s="204">
        <v>7559</v>
      </c>
      <c r="C1492" s="205" t="s">
        <v>1310</v>
      </c>
      <c r="D1492" s="206" t="s">
        <v>232</v>
      </c>
      <c r="E1492" s="207">
        <f>1*E1491</f>
        <v>1</v>
      </c>
      <c r="F1492" s="329">
        <v>8.9</v>
      </c>
      <c r="G1492" s="210">
        <f>F1492*E1492</f>
        <v>8.9</v>
      </c>
      <c r="H1492" s="64" t="s">
        <v>9</v>
      </c>
    </row>
    <row r="1493" spans="1:9" ht="12" thickBot="1" x14ac:dyDescent="0.3">
      <c r="A1493" s="583"/>
      <c r="B1493" s="415">
        <v>88264</v>
      </c>
      <c r="C1493" s="504" t="s">
        <v>878</v>
      </c>
      <c r="D1493" s="14" t="s">
        <v>257</v>
      </c>
      <c r="E1493" s="21">
        <f>0.3505*E1491</f>
        <v>0.35049999999999998</v>
      </c>
      <c r="F1493" s="15">
        <v>17.920000000000002</v>
      </c>
      <c r="G1493" s="33">
        <f>F1493*E1493</f>
        <v>6.28</v>
      </c>
      <c r="H1493" s="276">
        <f>G1492</f>
        <v>8.9</v>
      </c>
    </row>
    <row r="1494" spans="1:9" ht="23.25" customHeight="1" thickBot="1" x14ac:dyDescent="0.3">
      <c r="A1494" s="584"/>
      <c r="B1494" s="419">
        <v>88247</v>
      </c>
      <c r="C1494" s="420" t="s">
        <v>877</v>
      </c>
      <c r="D1494" s="36" t="s">
        <v>257</v>
      </c>
      <c r="E1494" s="37">
        <f>0.25*E1491</f>
        <v>0.25</v>
      </c>
      <c r="F1494" s="537">
        <v>13.73</v>
      </c>
      <c r="G1494" s="39">
        <f>F1494*E1494</f>
        <v>3.43</v>
      </c>
      <c r="H1494" s="678"/>
    </row>
    <row r="1495" spans="1:9" ht="23.25" thickBot="1" x14ac:dyDescent="0.3">
      <c r="A1495" s="582" t="s">
        <v>1194</v>
      </c>
      <c r="B1495" s="307" t="s">
        <v>955</v>
      </c>
      <c r="C1495" s="506" t="s">
        <v>952</v>
      </c>
      <c r="D1495" s="411" t="s">
        <v>268</v>
      </c>
      <c r="E1495" s="471">
        <v>1</v>
      </c>
      <c r="F1495" s="413">
        <f>SUM(G1496:G1498)/E1495</f>
        <v>53.18</v>
      </c>
      <c r="G1495" s="414">
        <f>E1495*F1495</f>
        <v>53.18</v>
      </c>
      <c r="H1495" s="277">
        <f>G1496+G1497</f>
        <v>15.28</v>
      </c>
      <c r="I1495" s="482">
        <f>H1495+H1497</f>
        <v>53.18</v>
      </c>
    </row>
    <row r="1496" spans="1:9" x14ac:dyDescent="0.25">
      <c r="A1496" s="583"/>
      <c r="B1496" s="415">
        <v>88264</v>
      </c>
      <c r="C1496" s="504" t="s">
        <v>878</v>
      </c>
      <c r="D1496" s="425" t="s">
        <v>257</v>
      </c>
      <c r="E1496" s="426">
        <v>0.48499999999999999</v>
      </c>
      <c r="F1496" s="15">
        <v>17.920000000000002</v>
      </c>
      <c r="G1496" s="428">
        <f>F1496*E1496</f>
        <v>8.69</v>
      </c>
      <c r="H1496" s="64" t="s">
        <v>9</v>
      </c>
    </row>
    <row r="1497" spans="1:9" ht="25.5" customHeight="1" thickBot="1" x14ac:dyDescent="0.3">
      <c r="A1497" s="583"/>
      <c r="B1497" s="415">
        <v>88247</v>
      </c>
      <c r="C1497" s="416" t="s">
        <v>877</v>
      </c>
      <c r="D1497" s="425" t="s">
        <v>257</v>
      </c>
      <c r="E1497" s="426">
        <v>0.48</v>
      </c>
      <c r="F1497" s="26">
        <v>13.73</v>
      </c>
      <c r="G1497" s="428">
        <f>F1497*E1497</f>
        <v>6.59</v>
      </c>
      <c r="H1497" s="276">
        <f>G1498</f>
        <v>37.9</v>
      </c>
    </row>
    <row r="1498" spans="1:9" ht="23.25" thickBot="1" x14ac:dyDescent="0.3">
      <c r="A1498" s="584"/>
      <c r="B1498" s="489" t="s">
        <v>16</v>
      </c>
      <c r="C1498" s="538" t="s">
        <v>953</v>
      </c>
      <c r="D1498" s="491" t="s">
        <v>268</v>
      </c>
      <c r="E1498" s="492">
        <f>1*E1495</f>
        <v>1</v>
      </c>
      <c r="F1498" s="355">
        <f>(25.15+4)*1.3</f>
        <v>37.9</v>
      </c>
      <c r="G1498" s="495">
        <f>F1498*E1498</f>
        <v>37.9</v>
      </c>
      <c r="H1498" s="678"/>
    </row>
    <row r="1499" spans="1:9" ht="22.5" x14ac:dyDescent="0.25">
      <c r="A1499" s="582" t="s">
        <v>1195</v>
      </c>
      <c r="B1499" s="307" t="s">
        <v>956</v>
      </c>
      <c r="C1499" s="506" t="s">
        <v>954</v>
      </c>
      <c r="D1499" s="411" t="s">
        <v>268</v>
      </c>
      <c r="E1499" s="471">
        <v>1</v>
      </c>
      <c r="F1499" s="413">
        <f>SUM(G1500:G1503)/E1499</f>
        <v>65.239999999999995</v>
      </c>
      <c r="G1499" s="414">
        <f>E1499*F1499</f>
        <v>65.239999999999995</v>
      </c>
      <c r="H1499" s="277">
        <f>G1500+G1501</f>
        <v>16.45</v>
      </c>
      <c r="I1499" s="187">
        <v>65.239999999999995</v>
      </c>
    </row>
    <row r="1500" spans="1:9" x14ac:dyDescent="0.25">
      <c r="A1500" s="583"/>
      <c r="B1500" s="415">
        <v>88264</v>
      </c>
      <c r="C1500" s="504" t="s">
        <v>878</v>
      </c>
      <c r="D1500" s="425" t="s">
        <v>257</v>
      </c>
      <c r="E1500" s="426">
        <v>0.51949999999999996</v>
      </c>
      <c r="F1500" s="15">
        <v>17.920000000000002</v>
      </c>
      <c r="G1500" s="428">
        <f>F1500*E1500</f>
        <v>9.31</v>
      </c>
      <c r="H1500" s="806" t="s">
        <v>9</v>
      </c>
    </row>
    <row r="1501" spans="1:9" ht="21" customHeight="1" thickBot="1" x14ac:dyDescent="0.3">
      <c r="A1501" s="583"/>
      <c r="B1501" s="415">
        <v>88247</v>
      </c>
      <c r="C1501" s="416" t="s">
        <v>877</v>
      </c>
      <c r="D1501" s="425" t="s">
        <v>257</v>
      </c>
      <c r="E1501" s="426">
        <v>0.52</v>
      </c>
      <c r="F1501" s="26">
        <v>13.73</v>
      </c>
      <c r="G1501" s="428">
        <f>F1501*E1501</f>
        <v>7.14</v>
      </c>
      <c r="H1501" s="817">
        <f>G1502+G1503</f>
        <v>48.79</v>
      </c>
    </row>
    <row r="1502" spans="1:9" x14ac:dyDescent="0.25">
      <c r="A1502" s="583"/>
      <c r="B1502" s="313">
        <v>2510</v>
      </c>
      <c r="C1502" s="314" t="s">
        <v>1312</v>
      </c>
      <c r="D1502" s="315" t="s">
        <v>268</v>
      </c>
      <c r="E1502" s="316">
        <f>1*E1498</f>
        <v>1</v>
      </c>
      <c r="F1502" s="317">
        <v>26.52</v>
      </c>
      <c r="G1502" s="349">
        <f>F1502*E1502</f>
        <v>26.52</v>
      </c>
      <c r="H1502" s="678"/>
    </row>
    <row r="1503" spans="1:9" ht="42" customHeight="1" thickBot="1" x14ac:dyDescent="0.3">
      <c r="A1503" s="584"/>
      <c r="B1503" s="489">
        <v>3803</v>
      </c>
      <c r="C1503" s="538" t="s">
        <v>1311</v>
      </c>
      <c r="D1503" s="491" t="s">
        <v>268</v>
      </c>
      <c r="E1503" s="492">
        <f>1*E1499</f>
        <v>1</v>
      </c>
      <c r="F1503" s="355">
        <v>22.27</v>
      </c>
      <c r="G1503" s="495">
        <f>F1503*E1503</f>
        <v>22.27</v>
      </c>
      <c r="H1503" s="678"/>
    </row>
    <row r="1504" spans="1:9" ht="38.25" customHeight="1" thickBot="1" x14ac:dyDescent="0.25">
      <c r="A1504" s="582" t="s">
        <v>1196</v>
      </c>
      <c r="B1504" s="305" t="s">
        <v>653</v>
      </c>
      <c r="C1504" s="98" t="s">
        <v>654</v>
      </c>
      <c r="D1504" s="43" t="s">
        <v>268</v>
      </c>
      <c r="E1504" s="44">
        <v>1</v>
      </c>
      <c r="F1504" s="30">
        <f>SUM(G1505:G1507)/E1504</f>
        <v>94.41</v>
      </c>
      <c r="G1504" s="45">
        <f>E1504*F1504</f>
        <v>94.41</v>
      </c>
      <c r="H1504" s="101" t="s">
        <v>8</v>
      </c>
      <c r="I1504" s="482">
        <v>94.41</v>
      </c>
    </row>
    <row r="1505" spans="1:9" ht="12" customHeight="1" x14ac:dyDescent="0.25">
      <c r="A1505" s="583"/>
      <c r="B1505" s="32">
        <v>88264</v>
      </c>
      <c r="C1505" s="16" t="s">
        <v>878</v>
      </c>
      <c r="D1505" s="138" t="s">
        <v>257</v>
      </c>
      <c r="E1505" s="139">
        <f>1*E1504</f>
        <v>1</v>
      </c>
      <c r="F1505" s="140">
        <v>17.920000000000002</v>
      </c>
      <c r="G1505" s="143">
        <f>F1505*E1505</f>
        <v>17.920000000000002</v>
      </c>
      <c r="H1505" s="331">
        <f>I1504-H1507</f>
        <v>31.47</v>
      </c>
    </row>
    <row r="1506" spans="1:9" ht="12" customHeight="1" thickBot="1" x14ac:dyDescent="0.3">
      <c r="A1506" s="583"/>
      <c r="B1506" s="429">
        <v>88316</v>
      </c>
      <c r="C1506" s="430" t="s">
        <v>690</v>
      </c>
      <c r="D1506" s="138" t="s">
        <v>257</v>
      </c>
      <c r="E1506" s="139">
        <f>0.999*E1504</f>
        <v>0.999</v>
      </c>
      <c r="F1506" s="140">
        <v>13.56</v>
      </c>
      <c r="G1506" s="143">
        <f>F1506*E1506</f>
        <v>13.55</v>
      </c>
      <c r="H1506" s="808" t="s">
        <v>9</v>
      </c>
    </row>
    <row r="1507" spans="1:9" ht="34.5" customHeight="1" thickBot="1" x14ac:dyDescent="0.25">
      <c r="A1507" s="584"/>
      <c r="B1507" s="211">
        <v>3799</v>
      </c>
      <c r="C1507" s="216" t="s">
        <v>1313</v>
      </c>
      <c r="D1507" s="212" t="s">
        <v>268</v>
      </c>
      <c r="E1507" s="271">
        <f>1*E1504</f>
        <v>1</v>
      </c>
      <c r="F1507" s="214">
        <v>62.94</v>
      </c>
      <c r="G1507" s="215">
        <f>F1507*E1507</f>
        <v>62.94</v>
      </c>
      <c r="H1507" s="816">
        <f>G1507</f>
        <v>62.94</v>
      </c>
    </row>
    <row r="1508" spans="1:9" ht="34.5" customHeight="1" thickBot="1" x14ac:dyDescent="0.25">
      <c r="A1508" s="582" t="s">
        <v>1197</v>
      </c>
      <c r="B1508" s="305" t="s">
        <v>655</v>
      </c>
      <c r="C1508" s="98" t="s">
        <v>656</v>
      </c>
      <c r="D1508" s="43" t="s">
        <v>268</v>
      </c>
      <c r="E1508" s="44">
        <v>1</v>
      </c>
      <c r="F1508" s="30">
        <f>SUM(G1509:G1511)/E1508</f>
        <v>158.71</v>
      </c>
      <c r="G1508" s="76">
        <f>E1508*F1508</f>
        <v>158.71</v>
      </c>
      <c r="H1508" s="101" t="s">
        <v>8</v>
      </c>
      <c r="I1508" s="482">
        <v>158.71</v>
      </c>
    </row>
    <row r="1509" spans="1:9" ht="12.75" customHeight="1" x14ac:dyDescent="0.25">
      <c r="A1509" s="583"/>
      <c r="B1509" s="32">
        <v>88264</v>
      </c>
      <c r="C1509" s="16" t="s">
        <v>878</v>
      </c>
      <c r="D1509" s="138" t="s">
        <v>257</v>
      </c>
      <c r="E1509" s="139">
        <f>1.349*E1508</f>
        <v>1.349</v>
      </c>
      <c r="F1509" s="140">
        <v>17.920000000000002</v>
      </c>
      <c r="G1509" s="140">
        <f>F1509*E1509</f>
        <v>24.17</v>
      </c>
      <c r="H1509" s="331">
        <f>I1508-H1511</f>
        <v>42.48</v>
      </c>
    </row>
    <row r="1510" spans="1:9" ht="12.75" customHeight="1" thickBot="1" x14ac:dyDescent="0.3">
      <c r="A1510" s="583"/>
      <c r="B1510" s="429">
        <v>88316</v>
      </c>
      <c r="C1510" s="430" t="s">
        <v>690</v>
      </c>
      <c r="D1510" s="138" t="s">
        <v>257</v>
      </c>
      <c r="E1510" s="139">
        <f>1.35*E1508</f>
        <v>1.35</v>
      </c>
      <c r="F1510" s="140">
        <v>13.56</v>
      </c>
      <c r="G1510" s="140">
        <f>F1510*E1510</f>
        <v>18.309999999999999</v>
      </c>
      <c r="H1510" s="808" t="s">
        <v>9</v>
      </c>
    </row>
    <row r="1511" spans="1:9" ht="34.5" customHeight="1" thickBot="1" x14ac:dyDescent="0.25">
      <c r="A1511" s="584"/>
      <c r="B1511" s="211">
        <v>3784</v>
      </c>
      <c r="C1511" s="216" t="s">
        <v>657</v>
      </c>
      <c r="D1511" s="212" t="s">
        <v>268</v>
      </c>
      <c r="E1511" s="271">
        <f>1*E1508</f>
        <v>1</v>
      </c>
      <c r="F1511" s="214">
        <v>116.23</v>
      </c>
      <c r="G1511" s="214">
        <f>F1511*E1511</f>
        <v>116.23</v>
      </c>
      <c r="H1511" s="816">
        <f>G1511</f>
        <v>116.23</v>
      </c>
    </row>
    <row r="1512" spans="1:9" ht="24" customHeight="1" thickBot="1" x14ac:dyDescent="0.25">
      <c r="A1512" s="582" t="s">
        <v>1198</v>
      </c>
      <c r="B1512" s="305" t="s">
        <v>658</v>
      </c>
      <c r="C1512" s="98" t="s">
        <v>957</v>
      </c>
      <c r="D1512" s="43" t="s">
        <v>268</v>
      </c>
      <c r="E1512" s="44">
        <v>1</v>
      </c>
      <c r="F1512" s="30">
        <f>SUM(G1513:G1516)/E1512</f>
        <v>49</v>
      </c>
      <c r="G1512" s="45">
        <f>E1512*F1512</f>
        <v>49</v>
      </c>
      <c r="H1512" s="101" t="s">
        <v>8</v>
      </c>
      <c r="I1512" s="482">
        <v>49</v>
      </c>
    </row>
    <row r="1513" spans="1:9" ht="10.5" customHeight="1" x14ac:dyDescent="0.25">
      <c r="A1513" s="583"/>
      <c r="B1513" s="32">
        <v>88247</v>
      </c>
      <c r="C1513" s="13" t="s">
        <v>877</v>
      </c>
      <c r="D1513" s="138" t="s">
        <v>257</v>
      </c>
      <c r="E1513" s="139">
        <f>0.801*E1512</f>
        <v>0.80100000000000005</v>
      </c>
      <c r="F1513" s="15">
        <v>13.73</v>
      </c>
      <c r="G1513" s="143">
        <f>F1513*E1513</f>
        <v>11</v>
      </c>
      <c r="H1513" s="331">
        <f>I1512-H1515</f>
        <v>25.34</v>
      </c>
    </row>
    <row r="1514" spans="1:9" ht="14.25" customHeight="1" thickBot="1" x14ac:dyDescent="0.3">
      <c r="A1514" s="583"/>
      <c r="B1514" s="32">
        <v>88264</v>
      </c>
      <c r="C1514" s="16" t="s">
        <v>878</v>
      </c>
      <c r="D1514" s="138" t="s">
        <v>257</v>
      </c>
      <c r="E1514" s="139">
        <f>0.8*E1512</f>
        <v>0.8</v>
      </c>
      <c r="F1514" s="18">
        <v>17.920000000000002</v>
      </c>
      <c r="G1514" s="143">
        <f>F1514*E1514</f>
        <v>14.34</v>
      </c>
      <c r="H1514" s="808" t="s">
        <v>9</v>
      </c>
    </row>
    <row r="1515" spans="1:9" ht="14.25" customHeight="1" thickBot="1" x14ac:dyDescent="0.25">
      <c r="A1515" s="583"/>
      <c r="B1515" s="204">
        <v>3763</v>
      </c>
      <c r="C1515" s="205" t="s">
        <v>659</v>
      </c>
      <c r="D1515" s="206" t="s">
        <v>268</v>
      </c>
      <c r="E1515" s="241">
        <f>1*E1512</f>
        <v>1</v>
      </c>
      <c r="F1515" s="208">
        <v>1.39</v>
      </c>
      <c r="G1515" s="210">
        <f>F1515*E1515</f>
        <v>1.39</v>
      </c>
      <c r="H1515" s="541">
        <f>G1515+G1516</f>
        <v>23.66</v>
      </c>
    </row>
    <row r="1516" spans="1:9" ht="24" customHeight="1" thickBot="1" x14ac:dyDescent="0.25">
      <c r="A1516" s="583"/>
      <c r="B1516" s="242">
        <v>3803</v>
      </c>
      <c r="C1516" s="243" t="s">
        <v>958</v>
      </c>
      <c r="D1516" s="244" t="s">
        <v>268</v>
      </c>
      <c r="E1516" s="245">
        <f>1*E1512</f>
        <v>1</v>
      </c>
      <c r="F1516" s="246">
        <v>22.27</v>
      </c>
      <c r="G1516" s="247">
        <f>F1516*E1516</f>
        <v>22.27</v>
      </c>
      <c r="H1516" s="332"/>
    </row>
    <row r="1517" spans="1:9" ht="18" customHeight="1" thickBot="1" x14ac:dyDescent="0.3">
      <c r="A1517" s="830">
        <v>23</v>
      </c>
      <c r="B1517" s="831"/>
      <c r="C1517" s="825" t="s">
        <v>959</v>
      </c>
      <c r="D1517" s="826"/>
      <c r="E1517" s="826"/>
      <c r="F1517" s="826"/>
      <c r="G1517" s="826"/>
      <c r="H1517" s="827"/>
    </row>
    <row r="1518" spans="1:9" ht="17.25" customHeight="1" thickBot="1" x14ac:dyDescent="0.3">
      <c r="A1518" s="582" t="s">
        <v>1199</v>
      </c>
      <c r="B1518" s="599" t="s">
        <v>961</v>
      </c>
      <c r="C1518" s="629" t="s">
        <v>960</v>
      </c>
      <c r="D1518" s="630" t="s">
        <v>269</v>
      </c>
      <c r="E1518" s="631">
        <v>1</v>
      </c>
      <c r="F1518" s="617">
        <f>SUM(G1519:G1521)/E1518</f>
        <v>53.59</v>
      </c>
      <c r="G1518" s="618">
        <f>E1518*F1518</f>
        <v>53.59</v>
      </c>
      <c r="H1518" s="542" t="s">
        <v>8</v>
      </c>
      <c r="I1518" s="482">
        <v>53.59</v>
      </c>
    </row>
    <row r="1519" spans="1:9" x14ac:dyDescent="0.25">
      <c r="A1519" s="583"/>
      <c r="B1519" s="429">
        <v>88264</v>
      </c>
      <c r="C1519" s="547" t="s">
        <v>878</v>
      </c>
      <c r="D1519" s="431" t="s">
        <v>257</v>
      </c>
      <c r="E1519" s="432">
        <f>0.2913*E1518</f>
        <v>0.2913</v>
      </c>
      <c r="F1519" s="464">
        <v>17.920000000000002</v>
      </c>
      <c r="G1519" s="434">
        <f t="shared" ref="G1519:G1520" si="177">E1519*F1519</f>
        <v>5.22</v>
      </c>
      <c r="H1519" s="331">
        <f>G1519+G1520</f>
        <v>9.23</v>
      </c>
    </row>
    <row r="1520" spans="1:9" x14ac:dyDescent="0.25">
      <c r="A1520" s="583"/>
      <c r="B1520" s="429">
        <v>88247</v>
      </c>
      <c r="C1520" s="430" t="s">
        <v>877</v>
      </c>
      <c r="D1520" s="431" t="s">
        <v>257</v>
      </c>
      <c r="E1520" s="432">
        <f>0.292*E1518</f>
        <v>0.29199999999999998</v>
      </c>
      <c r="F1520" s="433">
        <v>13.73</v>
      </c>
      <c r="G1520" s="434">
        <f t="shared" si="177"/>
        <v>4.01</v>
      </c>
      <c r="H1520" s="543" t="s">
        <v>9</v>
      </c>
    </row>
    <row r="1521" spans="1:8" ht="12" thickBot="1" x14ac:dyDescent="0.25">
      <c r="A1521" s="584"/>
      <c r="B1521" s="350" t="s">
        <v>16</v>
      </c>
      <c r="C1521" s="351" t="s">
        <v>5</v>
      </c>
      <c r="D1521" s="352" t="s">
        <v>269</v>
      </c>
      <c r="E1521" s="546">
        <f>1*E1518</f>
        <v>1</v>
      </c>
      <c r="F1521" s="327">
        <f>34.12*1.3</f>
        <v>44.36</v>
      </c>
      <c r="G1521" s="495">
        <f t="shared" ref="G1521:G1522" si="178">E1521*F1521</f>
        <v>44.36</v>
      </c>
      <c r="H1521" s="544">
        <f>G1521</f>
        <v>44.36</v>
      </c>
    </row>
    <row r="1522" spans="1:8" ht="15.75" customHeight="1" thickBot="1" x14ac:dyDescent="0.3">
      <c r="A1522" s="582" t="s">
        <v>1200</v>
      </c>
      <c r="B1522" s="307" t="s">
        <v>962</v>
      </c>
      <c r="C1522" s="506" t="s">
        <v>923</v>
      </c>
      <c r="D1522" s="411" t="s">
        <v>232</v>
      </c>
      <c r="E1522" s="471">
        <v>1</v>
      </c>
      <c r="F1522" s="413">
        <f>SUM(G1523:G1524)/E1522</f>
        <v>0.71</v>
      </c>
      <c r="G1522" s="414">
        <f t="shared" si="178"/>
        <v>0.71</v>
      </c>
      <c r="H1522" s="530">
        <v>0.71</v>
      </c>
    </row>
    <row r="1523" spans="1:8" x14ac:dyDescent="0.25">
      <c r="A1523" s="583"/>
      <c r="B1523" s="415">
        <v>88247</v>
      </c>
      <c r="C1523" s="416" t="s">
        <v>877</v>
      </c>
      <c r="D1523" s="417" t="s">
        <v>257</v>
      </c>
      <c r="E1523" s="503">
        <v>0.04</v>
      </c>
      <c r="F1523" s="26">
        <v>13.73</v>
      </c>
      <c r="G1523" s="418">
        <f>E1523*F1523</f>
        <v>0.55000000000000004</v>
      </c>
      <c r="H1523" s="678"/>
    </row>
    <row r="1524" spans="1:8" ht="23.25" thickBot="1" x14ac:dyDescent="0.3">
      <c r="A1524" s="584"/>
      <c r="B1524" s="489">
        <v>13348</v>
      </c>
      <c r="C1524" s="529" t="s">
        <v>942</v>
      </c>
      <c r="D1524" s="491" t="s">
        <v>268</v>
      </c>
      <c r="E1524" s="492">
        <f>1*E1522</f>
        <v>1</v>
      </c>
      <c r="F1524" s="355">
        <v>0.16</v>
      </c>
      <c r="G1524" s="495">
        <f>E1524*F1524</f>
        <v>0.16</v>
      </c>
      <c r="H1524" s="678"/>
    </row>
    <row r="1525" spans="1:8" ht="15" customHeight="1" thickBot="1" x14ac:dyDescent="0.3">
      <c r="A1525" s="582" t="s">
        <v>1201</v>
      </c>
      <c r="B1525" s="307" t="s">
        <v>963</v>
      </c>
      <c r="C1525" s="506" t="s">
        <v>925</v>
      </c>
      <c r="D1525" s="411" t="s">
        <v>232</v>
      </c>
      <c r="E1525" s="471">
        <v>1</v>
      </c>
      <c r="F1525" s="413">
        <f>SUM(G1526:G1527)/E1525</f>
        <v>0.73</v>
      </c>
      <c r="G1525" s="414">
        <f>E1525*F1525</f>
        <v>0.73</v>
      </c>
      <c r="H1525" s="530">
        <v>0.73</v>
      </c>
    </row>
    <row r="1526" spans="1:8" x14ac:dyDescent="0.25">
      <c r="A1526" s="583"/>
      <c r="B1526" s="415">
        <v>88247</v>
      </c>
      <c r="C1526" s="416" t="s">
        <v>877</v>
      </c>
      <c r="D1526" s="417" t="s">
        <v>257</v>
      </c>
      <c r="E1526" s="503">
        <v>0.04</v>
      </c>
      <c r="F1526" s="26">
        <v>13.73</v>
      </c>
      <c r="G1526" s="418">
        <f>E1526*F1526</f>
        <v>0.55000000000000004</v>
      </c>
      <c r="H1526" s="677"/>
    </row>
    <row r="1527" spans="1:8" ht="23.25" thickBot="1" x14ac:dyDescent="0.3">
      <c r="A1527" s="584"/>
      <c r="B1527" s="489">
        <v>13348</v>
      </c>
      <c r="C1527" s="529" t="s">
        <v>924</v>
      </c>
      <c r="D1527" s="491" t="s">
        <v>268</v>
      </c>
      <c r="E1527" s="492">
        <f>1*E1524</f>
        <v>1</v>
      </c>
      <c r="F1527" s="355">
        <v>0.18</v>
      </c>
      <c r="G1527" s="495">
        <f>E1527*F1527</f>
        <v>0.18</v>
      </c>
      <c r="H1527" s="677"/>
    </row>
    <row r="1528" spans="1:8" ht="16.5" customHeight="1" thickBot="1" x14ac:dyDescent="0.3">
      <c r="A1528" s="582" t="s">
        <v>1202</v>
      </c>
      <c r="B1528" s="307" t="s">
        <v>964</v>
      </c>
      <c r="C1528" s="410" t="s">
        <v>51</v>
      </c>
      <c r="D1528" s="411" t="s">
        <v>268</v>
      </c>
      <c r="E1528" s="471">
        <v>1</v>
      </c>
      <c r="F1528" s="413">
        <f>SUM(G1529:G1531)/E1528</f>
        <v>5.01</v>
      </c>
      <c r="G1528" s="414">
        <f t="shared" ref="G1528:G1532" si="179">E1528*F1528</f>
        <v>5.01</v>
      </c>
      <c r="H1528" s="530">
        <v>5.01</v>
      </c>
    </row>
    <row r="1529" spans="1:8" x14ac:dyDescent="0.25">
      <c r="A1529" s="583"/>
      <c r="B1529" s="415">
        <v>88264</v>
      </c>
      <c r="C1529" s="504" t="s">
        <v>878</v>
      </c>
      <c r="D1529" s="417" t="s">
        <v>257</v>
      </c>
      <c r="E1529" s="503">
        <f>0.1575*E1528</f>
        <v>0.1575</v>
      </c>
      <c r="F1529" s="15">
        <v>17.920000000000002</v>
      </c>
      <c r="G1529" s="418">
        <f t="shared" si="179"/>
        <v>2.82</v>
      </c>
      <c r="H1529" s="677"/>
    </row>
    <row r="1530" spans="1:8" x14ac:dyDescent="0.25">
      <c r="A1530" s="583"/>
      <c r="B1530" s="415">
        <v>88247</v>
      </c>
      <c r="C1530" s="416" t="s">
        <v>877</v>
      </c>
      <c r="D1530" s="417" t="s">
        <v>257</v>
      </c>
      <c r="E1530" s="503">
        <f>0.157*E1528</f>
        <v>0.157</v>
      </c>
      <c r="F1530" s="26">
        <v>13.73</v>
      </c>
      <c r="G1530" s="418">
        <f t="shared" si="179"/>
        <v>2.16</v>
      </c>
      <c r="H1530" s="677"/>
    </row>
    <row r="1531" spans="1:8" ht="12" thickBot="1" x14ac:dyDescent="0.3">
      <c r="A1531" s="584"/>
      <c r="B1531" s="489">
        <v>11945</v>
      </c>
      <c r="C1531" s="531" t="s">
        <v>926</v>
      </c>
      <c r="D1531" s="491" t="s">
        <v>268</v>
      </c>
      <c r="E1531" s="492">
        <f>1*E1528</f>
        <v>1</v>
      </c>
      <c r="F1531" s="355">
        <v>0.03</v>
      </c>
      <c r="G1531" s="495">
        <f t="shared" si="179"/>
        <v>0.03</v>
      </c>
      <c r="H1531" s="677"/>
    </row>
    <row r="1532" spans="1:8" ht="23.25" thickBot="1" x14ac:dyDescent="0.3">
      <c r="A1532" s="582" t="s">
        <v>1203</v>
      </c>
      <c r="B1532" s="307" t="s">
        <v>965</v>
      </c>
      <c r="C1532" s="410" t="s">
        <v>52</v>
      </c>
      <c r="D1532" s="411" t="s">
        <v>268</v>
      </c>
      <c r="E1532" s="471">
        <v>1</v>
      </c>
      <c r="F1532" s="413">
        <f>SUM(G1533:G1534)/E1532</f>
        <v>1.1499999999999999</v>
      </c>
      <c r="G1532" s="414">
        <f t="shared" si="179"/>
        <v>1.1499999999999999</v>
      </c>
      <c r="H1532" s="530">
        <v>1.1499999999999999</v>
      </c>
    </row>
    <row r="1533" spans="1:8" x14ac:dyDescent="0.25">
      <c r="A1533" s="583"/>
      <c r="B1533" s="415">
        <v>88247</v>
      </c>
      <c r="C1533" s="416" t="s">
        <v>877</v>
      </c>
      <c r="D1533" s="417" t="s">
        <v>257</v>
      </c>
      <c r="E1533" s="503">
        <f>0.0795*E1532</f>
        <v>7.9500000000000001E-2</v>
      </c>
      <c r="F1533" s="26">
        <v>13.73</v>
      </c>
      <c r="G1533" s="418">
        <f>F1533*E1533</f>
        <v>1.0900000000000001</v>
      </c>
      <c r="H1533" s="677"/>
    </row>
    <row r="1534" spans="1:8" ht="23.25" thickBot="1" x14ac:dyDescent="0.3">
      <c r="A1534" s="584"/>
      <c r="B1534" s="350">
        <v>11055</v>
      </c>
      <c r="C1534" s="529" t="s">
        <v>53</v>
      </c>
      <c r="D1534" s="491" t="s">
        <v>268</v>
      </c>
      <c r="E1534" s="492">
        <f>1*E1532</f>
        <v>1</v>
      </c>
      <c r="F1534" s="355">
        <v>0.06</v>
      </c>
      <c r="G1534" s="495">
        <f>F1534*E1534</f>
        <v>0.06</v>
      </c>
      <c r="H1534" s="677"/>
    </row>
    <row r="1535" spans="1:8" ht="23.25" thickBot="1" x14ac:dyDescent="0.3">
      <c r="A1535" s="582" t="s">
        <v>1204</v>
      </c>
      <c r="B1535" s="307" t="s">
        <v>966</v>
      </c>
      <c r="C1535" s="506" t="s">
        <v>927</v>
      </c>
      <c r="D1535" s="411" t="s">
        <v>268</v>
      </c>
      <c r="E1535" s="471">
        <v>1</v>
      </c>
      <c r="F1535" s="413">
        <f>SUM(G1536:G1537)/E1535</f>
        <v>1.62</v>
      </c>
      <c r="G1535" s="414">
        <f>E1535*F1535</f>
        <v>1.62</v>
      </c>
      <c r="H1535" s="530">
        <v>1.62</v>
      </c>
    </row>
    <row r="1536" spans="1:8" x14ac:dyDescent="0.25">
      <c r="A1536" s="583"/>
      <c r="B1536" s="415">
        <v>88247</v>
      </c>
      <c r="C1536" s="416" t="s">
        <v>877</v>
      </c>
      <c r="D1536" s="417" t="s">
        <v>257</v>
      </c>
      <c r="E1536" s="503">
        <v>9.5699999999999993E-2</v>
      </c>
      <c r="F1536" s="26">
        <v>13.73</v>
      </c>
      <c r="G1536" s="418">
        <f>F1536*E1536</f>
        <v>1.31</v>
      </c>
      <c r="H1536" s="677"/>
    </row>
    <row r="1537" spans="1:8" ht="23.25" thickBot="1" x14ac:dyDescent="0.3">
      <c r="A1537" s="584"/>
      <c r="B1537" s="350">
        <v>11058</v>
      </c>
      <c r="C1537" s="529" t="s">
        <v>928</v>
      </c>
      <c r="D1537" s="491" t="s">
        <v>268</v>
      </c>
      <c r="E1537" s="492">
        <f>1*E1535</f>
        <v>1</v>
      </c>
      <c r="F1537" s="355">
        <v>0.31</v>
      </c>
      <c r="G1537" s="495">
        <f>F1537*E1537</f>
        <v>0.31</v>
      </c>
      <c r="H1537" s="677"/>
    </row>
    <row r="1538" spans="1:8" ht="23.25" thickBot="1" x14ac:dyDescent="0.3">
      <c r="A1538" s="582" t="s">
        <v>1205</v>
      </c>
      <c r="B1538" s="307" t="s">
        <v>967</v>
      </c>
      <c r="C1538" s="532" t="s">
        <v>929</v>
      </c>
      <c r="D1538" s="411" t="s">
        <v>268</v>
      </c>
      <c r="E1538" s="471">
        <v>1</v>
      </c>
      <c r="F1538" s="413">
        <f>SUM(G1539:G1540)/E1538</f>
        <v>2.09</v>
      </c>
      <c r="G1538" s="414">
        <f>E1538*F1538</f>
        <v>2.09</v>
      </c>
      <c r="H1538" s="530">
        <v>2.09</v>
      </c>
    </row>
    <row r="1539" spans="1:8" x14ac:dyDescent="0.25">
      <c r="A1539" s="583"/>
      <c r="B1539" s="415">
        <v>88247</v>
      </c>
      <c r="C1539" s="416" t="s">
        <v>877</v>
      </c>
      <c r="D1539" s="417" t="s">
        <v>257</v>
      </c>
      <c r="E1539" s="503">
        <v>0.1195</v>
      </c>
      <c r="F1539" s="26">
        <v>13.73</v>
      </c>
      <c r="G1539" s="418">
        <f>F1539*E1539</f>
        <v>1.64</v>
      </c>
      <c r="H1539" s="677"/>
    </row>
    <row r="1540" spans="1:8" ht="23.25" thickBot="1" x14ac:dyDescent="0.3">
      <c r="A1540" s="584"/>
      <c r="B1540" s="350"/>
      <c r="C1540" s="525" t="s">
        <v>929</v>
      </c>
      <c r="D1540" s="491" t="s">
        <v>268</v>
      </c>
      <c r="E1540" s="492">
        <f>1*E1538</f>
        <v>1</v>
      </c>
      <c r="F1540" s="355">
        <v>0.45</v>
      </c>
      <c r="G1540" s="495">
        <f>F1540*E1540</f>
        <v>0.45</v>
      </c>
      <c r="H1540" s="677"/>
    </row>
    <row r="1541" spans="1:8" ht="16.5" customHeight="1" thickBot="1" x14ac:dyDescent="0.3">
      <c r="A1541" s="582" t="s">
        <v>1206</v>
      </c>
      <c r="B1541" s="307" t="s">
        <v>968</v>
      </c>
      <c r="C1541" s="506" t="s">
        <v>930</v>
      </c>
      <c r="D1541" s="411" t="s">
        <v>268</v>
      </c>
      <c r="E1541" s="471">
        <v>1</v>
      </c>
      <c r="F1541" s="413">
        <f>SUM(G1542:G1543)/E1541</f>
        <v>0.17</v>
      </c>
      <c r="G1541" s="414">
        <f>E1541*F1541</f>
        <v>0.17</v>
      </c>
      <c r="H1541" s="530">
        <v>0.17</v>
      </c>
    </row>
    <row r="1542" spans="1:8" x14ac:dyDescent="0.25">
      <c r="A1542" s="583"/>
      <c r="B1542" s="313">
        <v>14148</v>
      </c>
      <c r="C1542" s="314" t="s">
        <v>931</v>
      </c>
      <c r="D1542" s="315" t="s">
        <v>268</v>
      </c>
      <c r="E1542" s="316">
        <v>1</v>
      </c>
      <c r="F1542" s="317">
        <v>0.06</v>
      </c>
      <c r="G1542" s="349">
        <f>F1542*E1542</f>
        <v>0.06</v>
      </c>
      <c r="H1542" s="677"/>
    </row>
    <row r="1543" spans="1:8" ht="22.5" customHeight="1" thickBot="1" x14ac:dyDescent="0.3">
      <c r="A1543" s="584"/>
      <c r="B1543" s="419">
        <v>88247</v>
      </c>
      <c r="C1543" s="420" t="s">
        <v>877</v>
      </c>
      <c r="D1543" s="457" t="s">
        <v>257</v>
      </c>
      <c r="E1543" s="458">
        <v>8.0000000000000002E-3</v>
      </c>
      <c r="F1543" s="99">
        <v>13.73</v>
      </c>
      <c r="G1543" s="475">
        <f>F1543*E1543</f>
        <v>0.11</v>
      </c>
      <c r="H1543" s="677"/>
    </row>
    <row r="1544" spans="1:8" ht="15.75" customHeight="1" thickBot="1" x14ac:dyDescent="0.3">
      <c r="A1544" s="582" t="s">
        <v>1207</v>
      </c>
      <c r="B1544" s="307" t="s">
        <v>969</v>
      </c>
      <c r="C1544" s="506" t="s">
        <v>932</v>
      </c>
      <c r="D1544" s="411" t="s">
        <v>268</v>
      </c>
      <c r="E1544" s="471">
        <v>1</v>
      </c>
      <c r="F1544" s="413">
        <f>SUM(G1545:G1547)/E1544</f>
        <v>7.1</v>
      </c>
      <c r="G1544" s="414">
        <f>E1544*F1544</f>
        <v>7.1</v>
      </c>
      <c r="H1544" s="530">
        <v>0.46</v>
      </c>
    </row>
    <row r="1545" spans="1:8" x14ac:dyDescent="0.25">
      <c r="A1545" s="583"/>
      <c r="B1545" s="313">
        <v>4342</v>
      </c>
      <c r="C1545" s="314" t="s">
        <v>933</v>
      </c>
      <c r="D1545" s="315" t="s">
        <v>268</v>
      </c>
      <c r="E1545" s="316">
        <v>1</v>
      </c>
      <c r="F1545" s="317">
        <v>0.35</v>
      </c>
      <c r="G1545" s="349">
        <f>F1545*E1545</f>
        <v>0.35</v>
      </c>
      <c r="H1545" s="677"/>
    </row>
    <row r="1546" spans="1:8" ht="22.5" customHeight="1" thickBot="1" x14ac:dyDescent="0.3">
      <c r="A1546" s="584"/>
      <c r="B1546" s="444">
        <v>88247</v>
      </c>
      <c r="C1546" s="445" t="s">
        <v>877</v>
      </c>
      <c r="D1546" s="446" t="s">
        <v>257</v>
      </c>
      <c r="E1546" s="499">
        <v>8.0000000000000002E-3</v>
      </c>
      <c r="F1546" s="100">
        <v>13.73</v>
      </c>
      <c r="G1546" s="500">
        <f>F1546*E1546</f>
        <v>0.11</v>
      </c>
      <c r="H1546" s="677"/>
    </row>
    <row r="1547" spans="1:8" ht="18" customHeight="1" thickBot="1" x14ac:dyDescent="0.3">
      <c r="A1547" s="582" t="s">
        <v>1208</v>
      </c>
      <c r="B1547" s="307" t="s">
        <v>970</v>
      </c>
      <c r="C1547" s="533" t="s">
        <v>943</v>
      </c>
      <c r="D1547" s="411" t="s">
        <v>268</v>
      </c>
      <c r="E1547" s="471">
        <v>1</v>
      </c>
      <c r="F1547" s="413">
        <f>SUM(G1548:G1549)/E1547</f>
        <v>6.64</v>
      </c>
      <c r="G1547" s="414">
        <f>E1547*F1547</f>
        <v>6.64</v>
      </c>
      <c r="H1547" s="530">
        <f>6.64</f>
        <v>6.64</v>
      </c>
    </row>
    <row r="1548" spans="1:8" x14ac:dyDescent="0.25">
      <c r="A1548" s="583"/>
      <c r="B1548" s="313" t="s">
        <v>16</v>
      </c>
      <c r="C1548" s="314" t="s">
        <v>943</v>
      </c>
      <c r="D1548" s="315" t="s">
        <v>268</v>
      </c>
      <c r="E1548" s="316">
        <v>1</v>
      </c>
      <c r="F1548" s="317">
        <v>5</v>
      </c>
      <c r="G1548" s="349">
        <f>F1548*E1548</f>
        <v>5</v>
      </c>
      <c r="H1548" s="678"/>
    </row>
    <row r="1549" spans="1:8" ht="22.5" customHeight="1" thickBot="1" x14ac:dyDescent="0.3">
      <c r="A1549" s="584"/>
      <c r="B1549" s="441">
        <v>88247</v>
      </c>
      <c r="C1549" s="442" t="s">
        <v>877</v>
      </c>
      <c r="D1549" s="443" t="s">
        <v>257</v>
      </c>
      <c r="E1549" s="534">
        <v>0.1195</v>
      </c>
      <c r="F1549" s="535">
        <v>13.73</v>
      </c>
      <c r="G1549" s="536">
        <f>F1549*E1549</f>
        <v>1.64</v>
      </c>
      <c r="H1549" s="678"/>
    </row>
    <row r="1550" spans="1:8" ht="17.25" customHeight="1" thickBot="1" x14ac:dyDescent="0.3">
      <c r="A1550" s="582" t="s">
        <v>1209</v>
      </c>
      <c r="B1550" s="307" t="s">
        <v>971</v>
      </c>
      <c r="C1550" s="506" t="s">
        <v>944</v>
      </c>
      <c r="D1550" s="411" t="s">
        <v>268</v>
      </c>
      <c r="E1550" s="471">
        <v>1</v>
      </c>
      <c r="F1550" s="413">
        <f>SUM(G1551:G1553)/E1550</f>
        <v>7.48</v>
      </c>
      <c r="G1550" s="414">
        <f>E1550*F1550</f>
        <v>7.48</v>
      </c>
      <c r="H1550" s="530">
        <v>7.48</v>
      </c>
    </row>
    <row r="1551" spans="1:8" x14ac:dyDescent="0.25">
      <c r="A1551" s="583"/>
      <c r="B1551" s="415">
        <v>88264</v>
      </c>
      <c r="C1551" s="504" t="s">
        <v>878</v>
      </c>
      <c r="D1551" s="14" t="s">
        <v>257</v>
      </c>
      <c r="E1551" s="21">
        <v>0.189</v>
      </c>
      <c r="F1551" s="15">
        <v>17.920000000000002</v>
      </c>
      <c r="G1551" s="33">
        <f>F1551*E1551</f>
        <v>3.39</v>
      </c>
      <c r="H1551" s="678"/>
    </row>
    <row r="1552" spans="1:8" x14ac:dyDescent="0.25">
      <c r="A1552" s="583"/>
      <c r="B1552" s="415">
        <v>88247</v>
      </c>
      <c r="C1552" s="416" t="s">
        <v>877</v>
      </c>
      <c r="D1552" s="14" t="s">
        <v>257</v>
      </c>
      <c r="E1552" s="21">
        <v>0.189</v>
      </c>
      <c r="F1552" s="99">
        <v>13.73</v>
      </c>
      <c r="G1552" s="33">
        <f>F1552*E1552</f>
        <v>2.59</v>
      </c>
      <c r="H1552" s="678"/>
    </row>
    <row r="1553" spans="1:8" ht="12" thickBot="1" x14ac:dyDescent="0.3">
      <c r="A1553" s="584"/>
      <c r="B1553" s="350" t="s">
        <v>16</v>
      </c>
      <c r="C1553" s="529" t="s">
        <v>944</v>
      </c>
      <c r="D1553" s="491" t="s">
        <v>268</v>
      </c>
      <c r="E1553" s="492">
        <v>1</v>
      </c>
      <c r="F1553" s="355">
        <v>1.5</v>
      </c>
      <c r="G1553" s="495">
        <f>F1553*E1553</f>
        <v>1.5</v>
      </c>
      <c r="H1553" s="678"/>
    </row>
    <row r="1554" spans="1:8" ht="17.25" customHeight="1" thickBot="1" x14ac:dyDescent="0.3">
      <c r="A1554" s="582" t="s">
        <v>1210</v>
      </c>
      <c r="B1554" s="307" t="s">
        <v>975</v>
      </c>
      <c r="C1554" s="506" t="s">
        <v>972</v>
      </c>
      <c r="D1554" s="411" t="s">
        <v>232</v>
      </c>
      <c r="E1554" s="471">
        <v>1</v>
      </c>
      <c r="F1554" s="413">
        <f>SUM(G1555:G1557)/E1554</f>
        <v>26.01</v>
      </c>
      <c r="G1554" s="414">
        <f>E1554*F1554</f>
        <v>26.01</v>
      </c>
      <c r="H1554" s="530">
        <v>26.01</v>
      </c>
    </row>
    <row r="1555" spans="1:8" x14ac:dyDescent="0.25">
      <c r="A1555" s="583"/>
      <c r="B1555" s="415">
        <v>88264</v>
      </c>
      <c r="C1555" s="504" t="s">
        <v>878</v>
      </c>
      <c r="D1555" s="425" t="s">
        <v>257</v>
      </c>
      <c r="E1555" s="426">
        <v>0.316</v>
      </c>
      <c r="F1555" s="15">
        <v>17.920000000000002</v>
      </c>
      <c r="G1555" s="428">
        <f>F1555*E1555</f>
        <v>5.66</v>
      </c>
      <c r="H1555" s="716"/>
    </row>
    <row r="1556" spans="1:8" x14ac:dyDescent="0.25">
      <c r="A1556" s="583"/>
      <c r="B1556" s="415">
        <v>88247</v>
      </c>
      <c r="C1556" s="416" t="s">
        <v>877</v>
      </c>
      <c r="D1556" s="425" t="s">
        <v>257</v>
      </c>
      <c r="E1556" s="426">
        <v>0.315</v>
      </c>
      <c r="F1556" s="26">
        <v>13.73</v>
      </c>
      <c r="G1556" s="428">
        <f>F1556*E1556</f>
        <v>4.32</v>
      </c>
      <c r="H1556" s="716"/>
    </row>
    <row r="1557" spans="1:8" ht="12" thickBot="1" x14ac:dyDescent="0.3">
      <c r="A1557" s="584"/>
      <c r="B1557" s="489" t="s">
        <v>16</v>
      </c>
      <c r="C1557" s="525" t="s">
        <v>972</v>
      </c>
      <c r="D1557" s="491" t="s">
        <v>232</v>
      </c>
      <c r="E1557" s="492">
        <f>1*E1554</f>
        <v>1</v>
      </c>
      <c r="F1557" s="355">
        <v>16.03</v>
      </c>
      <c r="G1557" s="495">
        <f>F1557*E1557</f>
        <v>16.03</v>
      </c>
      <c r="H1557" s="716"/>
    </row>
    <row r="1558" spans="1:8" ht="17.25" customHeight="1" thickBot="1" x14ac:dyDescent="0.3">
      <c r="A1558" s="582" t="s">
        <v>1211</v>
      </c>
      <c r="B1558" s="307" t="s">
        <v>976</v>
      </c>
      <c r="C1558" s="506" t="s">
        <v>973</v>
      </c>
      <c r="D1558" s="411" t="s">
        <v>268</v>
      </c>
      <c r="E1558" s="471">
        <v>1</v>
      </c>
      <c r="F1558" s="413">
        <f>SUM(G1559:G1561)/E1558</f>
        <v>8.26</v>
      </c>
      <c r="G1558" s="414">
        <f>E1558*F1558</f>
        <v>8.26</v>
      </c>
      <c r="H1558" s="530">
        <v>8.26</v>
      </c>
    </row>
    <row r="1559" spans="1:8" x14ac:dyDescent="0.25">
      <c r="A1559" s="583"/>
      <c r="B1559" s="415">
        <v>88264</v>
      </c>
      <c r="C1559" s="504" t="s">
        <v>878</v>
      </c>
      <c r="D1559" s="425" t="s">
        <v>257</v>
      </c>
      <c r="E1559" s="426">
        <v>0.155</v>
      </c>
      <c r="F1559" s="15">
        <v>17.920000000000002</v>
      </c>
      <c r="G1559" s="428">
        <f>F1559*E1559</f>
        <v>2.78</v>
      </c>
      <c r="H1559" s="716"/>
    </row>
    <row r="1560" spans="1:8" x14ac:dyDescent="0.25">
      <c r="A1560" s="583"/>
      <c r="B1560" s="415">
        <v>88247</v>
      </c>
      <c r="C1560" s="416" t="s">
        <v>877</v>
      </c>
      <c r="D1560" s="425" t="s">
        <v>257</v>
      </c>
      <c r="E1560" s="426">
        <v>0.16</v>
      </c>
      <c r="F1560" s="26">
        <v>13.73</v>
      </c>
      <c r="G1560" s="428">
        <f>F1560*E1560</f>
        <v>2.2000000000000002</v>
      </c>
      <c r="H1560" s="716"/>
    </row>
    <row r="1561" spans="1:8" ht="12" thickBot="1" x14ac:dyDescent="0.3">
      <c r="A1561" s="584"/>
      <c r="B1561" s="489" t="s">
        <v>16</v>
      </c>
      <c r="C1561" s="525" t="s">
        <v>973</v>
      </c>
      <c r="D1561" s="491" t="s">
        <v>268</v>
      </c>
      <c r="E1561" s="492">
        <f>1*E1558</f>
        <v>1</v>
      </c>
      <c r="F1561" s="355">
        <f>2.1*1.3*1.2</f>
        <v>3.28</v>
      </c>
      <c r="G1561" s="495">
        <f>F1561*E1561</f>
        <v>3.28</v>
      </c>
      <c r="H1561" s="716"/>
    </row>
    <row r="1562" spans="1:8" ht="16.5" customHeight="1" thickBot="1" x14ac:dyDescent="0.3">
      <c r="A1562" s="582" t="s">
        <v>1212</v>
      </c>
      <c r="B1562" s="307" t="s">
        <v>977</v>
      </c>
      <c r="C1562" s="506" t="s">
        <v>914</v>
      </c>
      <c r="D1562" s="411" t="s">
        <v>268</v>
      </c>
      <c r="E1562" s="471">
        <v>1</v>
      </c>
      <c r="F1562" s="413">
        <f>SUM(G1563:G1565)/E1562</f>
        <v>6.78</v>
      </c>
      <c r="G1562" s="414">
        <f>E1562*F1562</f>
        <v>6.78</v>
      </c>
      <c r="H1562" s="530">
        <v>6.78</v>
      </c>
    </row>
    <row r="1563" spans="1:8" x14ac:dyDescent="0.25">
      <c r="A1563" s="583"/>
      <c r="B1563" s="415">
        <v>88264</v>
      </c>
      <c r="C1563" s="504" t="s">
        <v>878</v>
      </c>
      <c r="D1563" s="425" t="s">
        <v>257</v>
      </c>
      <c r="E1563" s="426">
        <v>0.15</v>
      </c>
      <c r="F1563" s="15">
        <v>17.920000000000002</v>
      </c>
      <c r="G1563" s="428">
        <f>F1563*E1563</f>
        <v>2.69</v>
      </c>
      <c r="H1563" s="716"/>
    </row>
    <row r="1564" spans="1:8" x14ac:dyDescent="0.25">
      <c r="A1564" s="583"/>
      <c r="B1564" s="415">
        <v>88247</v>
      </c>
      <c r="C1564" s="416" t="s">
        <v>877</v>
      </c>
      <c r="D1564" s="425" t="s">
        <v>257</v>
      </c>
      <c r="E1564" s="426">
        <v>0.15</v>
      </c>
      <c r="F1564" s="26">
        <v>13.73</v>
      </c>
      <c r="G1564" s="428">
        <f>F1564*E1564</f>
        <v>2.06</v>
      </c>
      <c r="H1564" s="716"/>
    </row>
    <row r="1565" spans="1:8" ht="12" thickBot="1" x14ac:dyDescent="0.3">
      <c r="A1565" s="584"/>
      <c r="B1565" s="489" t="s">
        <v>16</v>
      </c>
      <c r="C1565" s="525" t="s">
        <v>914</v>
      </c>
      <c r="D1565" s="491" t="s">
        <v>268</v>
      </c>
      <c r="E1565" s="492">
        <f>1*E1562</f>
        <v>1</v>
      </c>
      <c r="F1565" s="355">
        <v>2.0299999999999998</v>
      </c>
      <c r="G1565" s="495">
        <f>F1565*E1565</f>
        <v>2.0299999999999998</v>
      </c>
      <c r="H1565" s="716"/>
    </row>
    <row r="1566" spans="1:8" ht="16.5" customHeight="1" thickBot="1" x14ac:dyDescent="0.3">
      <c r="A1566" s="582" t="s">
        <v>1213</v>
      </c>
      <c r="B1566" s="307" t="s">
        <v>978</v>
      </c>
      <c r="C1566" s="506" t="s">
        <v>974</v>
      </c>
      <c r="D1566" s="411" t="s">
        <v>268</v>
      </c>
      <c r="E1566" s="471">
        <v>1</v>
      </c>
      <c r="F1566" s="413">
        <f>SUM(G1567:G1569)/E1566</f>
        <v>13.99</v>
      </c>
      <c r="G1566" s="414">
        <f>E1566*F1566</f>
        <v>13.99</v>
      </c>
      <c r="H1566" s="530">
        <v>13.99</v>
      </c>
    </row>
    <row r="1567" spans="1:8" x14ac:dyDescent="0.25">
      <c r="A1567" s="583"/>
      <c r="B1567" s="415">
        <v>88264</v>
      </c>
      <c r="C1567" s="504" t="s">
        <v>878</v>
      </c>
      <c r="D1567" s="425" t="s">
        <v>257</v>
      </c>
      <c r="E1567" s="426">
        <v>0.28000000000000003</v>
      </c>
      <c r="F1567" s="15">
        <v>17.920000000000002</v>
      </c>
      <c r="G1567" s="428">
        <f>F1567*E1567</f>
        <v>5.0199999999999996</v>
      </c>
      <c r="H1567" s="716"/>
    </row>
    <row r="1568" spans="1:8" x14ac:dyDescent="0.25">
      <c r="A1568" s="583"/>
      <c r="B1568" s="415">
        <v>88247</v>
      </c>
      <c r="C1568" s="416" t="s">
        <v>877</v>
      </c>
      <c r="D1568" s="425" t="s">
        <v>257</v>
      </c>
      <c r="E1568" s="426">
        <v>0.27</v>
      </c>
      <c r="F1568" s="26">
        <v>13.73</v>
      </c>
      <c r="G1568" s="428">
        <f>F1568*E1568</f>
        <v>3.71</v>
      </c>
      <c r="H1568" s="716"/>
    </row>
    <row r="1569" spans="1:9" ht="12" thickBot="1" x14ac:dyDescent="0.3">
      <c r="A1569" s="584"/>
      <c r="B1569" s="489">
        <v>7555</v>
      </c>
      <c r="C1569" s="525" t="s">
        <v>915</v>
      </c>
      <c r="D1569" s="491" t="s">
        <v>268</v>
      </c>
      <c r="E1569" s="492">
        <f>1*E1566</f>
        <v>1</v>
      </c>
      <c r="F1569" s="355">
        <f>10.12/3*1.3*1.2</f>
        <v>5.26</v>
      </c>
      <c r="G1569" s="495">
        <f>F1569*E1569</f>
        <v>5.26</v>
      </c>
      <c r="H1569" s="716"/>
    </row>
    <row r="1570" spans="1:9" ht="21.75" customHeight="1" thickBot="1" x14ac:dyDescent="0.25">
      <c r="A1570" s="582" t="s">
        <v>1214</v>
      </c>
      <c r="B1570" s="335">
        <v>73613</v>
      </c>
      <c r="C1570" s="336" t="s">
        <v>1314</v>
      </c>
      <c r="D1570" s="67" t="s">
        <v>269</v>
      </c>
      <c r="E1570" s="108">
        <v>1</v>
      </c>
      <c r="F1570" s="30">
        <f>SUM(G1571:G1573)/E1570</f>
        <v>11.39</v>
      </c>
      <c r="G1570" s="45">
        <f>E1570*F1570</f>
        <v>11.39</v>
      </c>
      <c r="H1570" s="105" t="s">
        <v>8</v>
      </c>
      <c r="I1570" s="482">
        <v>11.39</v>
      </c>
    </row>
    <row r="1571" spans="1:9" x14ac:dyDescent="0.25">
      <c r="A1571" s="583"/>
      <c r="B1571" s="415">
        <v>88264</v>
      </c>
      <c r="C1571" s="504" t="s">
        <v>878</v>
      </c>
      <c r="D1571" s="425" t="s">
        <v>257</v>
      </c>
      <c r="E1571" s="426">
        <f>E1570*0.3</f>
        <v>0.3</v>
      </c>
      <c r="F1571" s="15">
        <v>17.920000000000002</v>
      </c>
      <c r="G1571" s="428">
        <f>F1571*E1571</f>
        <v>5.38</v>
      </c>
      <c r="H1571" s="220">
        <f>I1570-H1573</f>
        <v>9.5</v>
      </c>
    </row>
    <row r="1572" spans="1:9" x14ac:dyDescent="0.25">
      <c r="A1572" s="583"/>
      <c r="B1572" s="415">
        <v>88247</v>
      </c>
      <c r="C1572" s="416" t="s">
        <v>877</v>
      </c>
      <c r="D1572" s="425" t="s">
        <v>257</v>
      </c>
      <c r="E1572" s="426">
        <f>E1570*0.3</f>
        <v>0.3</v>
      </c>
      <c r="F1572" s="26">
        <v>13.73</v>
      </c>
      <c r="G1572" s="428">
        <f>F1572*E1572</f>
        <v>4.12</v>
      </c>
      <c r="H1572" s="754" t="s">
        <v>9</v>
      </c>
    </row>
    <row r="1573" spans="1:9" ht="15" customHeight="1" thickBot="1" x14ac:dyDescent="0.3">
      <c r="A1573" s="584"/>
      <c r="B1573" s="337">
        <v>2674</v>
      </c>
      <c r="C1573" s="338" t="s">
        <v>1315</v>
      </c>
      <c r="D1573" s="339"/>
      <c r="E1573" s="340">
        <v>1.1000000000000001</v>
      </c>
      <c r="F1573" s="341">
        <v>1.72</v>
      </c>
      <c r="G1573" s="342">
        <f>E1573*F1573</f>
        <v>1.89</v>
      </c>
      <c r="H1573" s="810">
        <f>G1573</f>
        <v>1.89</v>
      </c>
    </row>
    <row r="1574" spans="1:9" ht="15" customHeight="1" thickBot="1" x14ac:dyDescent="0.3">
      <c r="A1574" s="582" t="s">
        <v>1215</v>
      </c>
      <c r="B1574" s="306" t="s">
        <v>979</v>
      </c>
      <c r="C1574" s="506" t="s">
        <v>884</v>
      </c>
      <c r="D1574" s="411" t="s">
        <v>268</v>
      </c>
      <c r="E1574" s="471">
        <v>1</v>
      </c>
      <c r="F1574" s="413">
        <f>SUM(G1575:G1578)/E1574</f>
        <v>6.31</v>
      </c>
      <c r="G1574" s="414">
        <f>E1574*F1574</f>
        <v>6.31</v>
      </c>
      <c r="H1574" s="58" t="s">
        <v>8</v>
      </c>
      <c r="I1574" s="482">
        <v>6.31</v>
      </c>
    </row>
    <row r="1575" spans="1:9" ht="12" customHeight="1" x14ac:dyDescent="0.25">
      <c r="A1575" s="583"/>
      <c r="B1575" s="507">
        <v>400</v>
      </c>
      <c r="C1575" s="508" t="s">
        <v>885</v>
      </c>
      <c r="D1575" s="509" t="s">
        <v>268</v>
      </c>
      <c r="E1575" s="512">
        <v>1</v>
      </c>
      <c r="F1575" s="510">
        <v>1.28</v>
      </c>
      <c r="G1575" s="511">
        <f>F1575*E1575</f>
        <v>1.28</v>
      </c>
      <c r="H1575" s="220">
        <f>G1576+G1578</f>
        <v>4.79</v>
      </c>
    </row>
    <row r="1576" spans="1:9" ht="12" customHeight="1" x14ac:dyDescent="0.25">
      <c r="A1576" s="583"/>
      <c r="B1576" s="415">
        <v>88264</v>
      </c>
      <c r="C1576" s="504" t="s">
        <v>878</v>
      </c>
      <c r="D1576" s="437" t="s">
        <v>257</v>
      </c>
      <c r="E1576" s="513">
        <v>0.1515</v>
      </c>
      <c r="F1576" s="439">
        <v>17.920000000000002</v>
      </c>
      <c r="G1576" s="514">
        <f>F1576*E1576</f>
        <v>2.71</v>
      </c>
      <c r="H1576" s="811" t="s">
        <v>9</v>
      </c>
    </row>
    <row r="1577" spans="1:9" ht="12" customHeight="1" thickBot="1" x14ac:dyDescent="0.3">
      <c r="A1577" s="583"/>
      <c r="B1577" s="507">
        <v>4376</v>
      </c>
      <c r="C1577" s="508" t="s">
        <v>886</v>
      </c>
      <c r="D1577" s="509" t="s">
        <v>268</v>
      </c>
      <c r="E1577" s="512">
        <f>164/82</f>
        <v>2</v>
      </c>
      <c r="F1577" s="510">
        <v>0.12</v>
      </c>
      <c r="G1577" s="511">
        <f>F1577*E1577</f>
        <v>0.24</v>
      </c>
      <c r="H1577" s="812">
        <f>G1575+G1577</f>
        <v>1.52</v>
      </c>
    </row>
    <row r="1578" spans="1:9" ht="23.25" customHeight="1" thickBot="1" x14ac:dyDescent="0.25">
      <c r="A1578" s="584"/>
      <c r="B1578" s="415">
        <v>88247</v>
      </c>
      <c r="C1578" s="416" t="s">
        <v>877</v>
      </c>
      <c r="D1578" s="446" t="s">
        <v>257</v>
      </c>
      <c r="E1578" s="515">
        <v>0.1515</v>
      </c>
      <c r="F1578" s="448">
        <v>13.73</v>
      </c>
      <c r="G1578" s="500">
        <f>F1578*E1578</f>
        <v>2.08</v>
      </c>
      <c r="H1578" s="714"/>
    </row>
    <row r="1579" spans="1:9" ht="15" customHeight="1" thickBot="1" x14ac:dyDescent="0.3">
      <c r="A1579" s="582" t="s">
        <v>1216</v>
      </c>
      <c r="B1579" s="306" t="s">
        <v>980</v>
      </c>
      <c r="C1579" s="410" t="s">
        <v>252</v>
      </c>
      <c r="D1579" s="411" t="s">
        <v>268</v>
      </c>
      <c r="E1579" s="412">
        <v>1</v>
      </c>
      <c r="F1579" s="413">
        <f>SUM(G1580:G1582)/E1579</f>
        <v>1.86</v>
      </c>
      <c r="G1579" s="451">
        <f>E1579*F1579</f>
        <v>1.86</v>
      </c>
      <c r="H1579" s="58" t="s">
        <v>8</v>
      </c>
      <c r="I1579" s="482">
        <v>1.86</v>
      </c>
    </row>
    <row r="1580" spans="1:9" ht="12" customHeight="1" x14ac:dyDescent="0.25">
      <c r="A1580" s="583"/>
      <c r="B1580" s="313">
        <v>1891</v>
      </c>
      <c r="C1580" s="314" t="s">
        <v>0</v>
      </c>
      <c r="D1580" s="315" t="s">
        <v>268</v>
      </c>
      <c r="E1580" s="359">
        <f>1*E1579</f>
        <v>1</v>
      </c>
      <c r="F1580" s="517">
        <v>1.06</v>
      </c>
      <c r="G1580" s="360">
        <f>F1580*E1580</f>
        <v>1.06</v>
      </c>
      <c r="H1580" s="220">
        <f>G1581+G1582</f>
        <v>0.8</v>
      </c>
    </row>
    <row r="1581" spans="1:9" ht="12" customHeight="1" x14ac:dyDescent="0.25">
      <c r="A1581" s="583"/>
      <c r="B1581" s="415">
        <v>88264</v>
      </c>
      <c r="C1581" s="504" t="s">
        <v>878</v>
      </c>
      <c r="D1581" s="437" t="s">
        <v>257</v>
      </c>
      <c r="E1581" s="513">
        <v>2.53E-2</v>
      </c>
      <c r="F1581" s="15">
        <v>17.920000000000002</v>
      </c>
      <c r="G1581" s="514">
        <f>F1581*E1581</f>
        <v>0.45</v>
      </c>
      <c r="H1581" s="811" t="s">
        <v>9</v>
      </c>
    </row>
    <row r="1582" spans="1:9" ht="24" customHeight="1" thickBot="1" x14ac:dyDescent="0.3">
      <c r="A1582" s="584"/>
      <c r="B1582" s="415">
        <v>88247</v>
      </c>
      <c r="C1582" s="416" t="s">
        <v>877</v>
      </c>
      <c r="D1582" s="446" t="s">
        <v>257</v>
      </c>
      <c r="E1582" s="515">
        <v>2.53E-2</v>
      </c>
      <c r="F1582" s="26">
        <v>13.73</v>
      </c>
      <c r="G1582" s="500">
        <f>F1582*E1582</f>
        <v>0.35</v>
      </c>
      <c r="H1582" s="812">
        <f>G1580</f>
        <v>1.06</v>
      </c>
    </row>
    <row r="1583" spans="1:9" ht="15" customHeight="1" thickBot="1" x14ac:dyDescent="0.25">
      <c r="A1583" s="582" t="s">
        <v>1217</v>
      </c>
      <c r="B1583" s="306" t="s">
        <v>984</v>
      </c>
      <c r="C1583" s="539" t="s">
        <v>981</v>
      </c>
      <c r="D1583" s="540" t="s">
        <v>982</v>
      </c>
      <c r="E1583" s="545">
        <v>1</v>
      </c>
      <c r="F1583" s="548">
        <f>SUM(G1584:G1586)/E1583</f>
        <v>5</v>
      </c>
      <c r="G1583" s="414">
        <f t="shared" ref="G1583:G1586" si="180">E1583*F1583</f>
        <v>5</v>
      </c>
      <c r="H1583" s="526" t="s">
        <v>8</v>
      </c>
      <c r="I1583" s="482">
        <v>5</v>
      </c>
    </row>
    <row r="1584" spans="1:9" ht="12" customHeight="1" x14ac:dyDescent="0.25">
      <c r="A1584" s="583"/>
      <c r="B1584" s="415">
        <v>88264</v>
      </c>
      <c r="C1584" s="504" t="s">
        <v>878</v>
      </c>
      <c r="D1584" s="425" t="s">
        <v>257</v>
      </c>
      <c r="E1584" s="426">
        <v>4.4999999999999998E-2</v>
      </c>
      <c r="F1584" s="15">
        <v>17.920000000000002</v>
      </c>
      <c r="G1584" s="428">
        <f>F1584*E1584</f>
        <v>0.81</v>
      </c>
      <c r="H1584" s="549">
        <f>(G1584+G1585)/E1583</f>
        <v>1.5</v>
      </c>
    </row>
    <row r="1585" spans="1:9" ht="23.25" customHeight="1" x14ac:dyDescent="0.25">
      <c r="A1585" s="583"/>
      <c r="B1585" s="415">
        <v>88247</v>
      </c>
      <c r="C1585" s="416" t="s">
        <v>877</v>
      </c>
      <c r="D1585" s="425" t="s">
        <v>257</v>
      </c>
      <c r="E1585" s="426">
        <v>0.05</v>
      </c>
      <c r="F1585" s="26">
        <v>13.73</v>
      </c>
      <c r="G1585" s="428">
        <f>F1585*E1585</f>
        <v>0.69</v>
      </c>
      <c r="H1585" s="815" t="s">
        <v>9</v>
      </c>
    </row>
    <row r="1586" spans="1:9" ht="12" customHeight="1" thickBot="1" x14ac:dyDescent="0.3">
      <c r="A1586" s="584"/>
      <c r="B1586" s="350" t="s">
        <v>16</v>
      </c>
      <c r="C1586" s="351" t="s">
        <v>983</v>
      </c>
      <c r="D1586" s="352" t="s">
        <v>982</v>
      </c>
      <c r="E1586" s="546">
        <v>1</v>
      </c>
      <c r="F1586" s="327">
        <v>3.5</v>
      </c>
      <c r="G1586" s="495">
        <f t="shared" si="180"/>
        <v>3.5</v>
      </c>
      <c r="H1586" s="814">
        <f>F1583-H1584</f>
        <v>3.5</v>
      </c>
    </row>
    <row r="1587" spans="1:9" ht="21.75" customHeight="1" thickBot="1" x14ac:dyDescent="0.25">
      <c r="A1587" s="582" t="s">
        <v>1218</v>
      </c>
      <c r="B1587" s="335">
        <v>83387</v>
      </c>
      <c r="C1587" s="336" t="s">
        <v>1316</v>
      </c>
      <c r="D1587" s="67" t="s">
        <v>269</v>
      </c>
      <c r="E1587" s="108">
        <v>1</v>
      </c>
      <c r="F1587" s="30">
        <f>SUM(G1588:G1590)/E1587</f>
        <v>6.13</v>
      </c>
      <c r="G1587" s="45">
        <f>E1587*F1587</f>
        <v>6.13</v>
      </c>
      <c r="H1587" s="105" t="s">
        <v>8</v>
      </c>
      <c r="I1587" s="482">
        <v>6.13</v>
      </c>
    </row>
    <row r="1588" spans="1:9" ht="9" customHeight="1" x14ac:dyDescent="0.25">
      <c r="A1588" s="583"/>
      <c r="B1588" s="415">
        <v>88264</v>
      </c>
      <c r="C1588" s="504" t="s">
        <v>878</v>
      </c>
      <c r="D1588" s="425" t="s">
        <v>257</v>
      </c>
      <c r="E1588" s="426">
        <f>E1587*0.15</f>
        <v>0.15</v>
      </c>
      <c r="F1588" s="15">
        <v>17.920000000000002</v>
      </c>
      <c r="G1588" s="428">
        <f>F1588*E1588</f>
        <v>2.69</v>
      </c>
      <c r="H1588" s="220">
        <f>I1587-H1590</f>
        <v>4.75</v>
      </c>
    </row>
    <row r="1589" spans="1:9" ht="9.75" customHeight="1" x14ac:dyDescent="0.25">
      <c r="A1589" s="583"/>
      <c r="B1589" s="415">
        <v>88247</v>
      </c>
      <c r="C1589" s="416" t="s">
        <v>877</v>
      </c>
      <c r="D1589" s="425" t="s">
        <v>257</v>
      </c>
      <c r="E1589" s="426">
        <f>E1587*0.15</f>
        <v>0.15</v>
      </c>
      <c r="F1589" s="26">
        <v>13.73</v>
      </c>
      <c r="G1589" s="428">
        <f>F1589*E1589</f>
        <v>2.06</v>
      </c>
      <c r="H1589" s="754" t="s">
        <v>9</v>
      </c>
    </row>
    <row r="1590" spans="1:9" ht="15" customHeight="1" thickBot="1" x14ac:dyDescent="0.3">
      <c r="A1590" s="584"/>
      <c r="B1590" s="337">
        <v>1872</v>
      </c>
      <c r="C1590" s="338" t="s">
        <v>626</v>
      </c>
      <c r="D1590" s="339"/>
      <c r="E1590" s="340">
        <v>1</v>
      </c>
      <c r="F1590" s="341">
        <v>1.38</v>
      </c>
      <c r="G1590" s="342">
        <f>E1590*F1590</f>
        <v>1.38</v>
      </c>
      <c r="H1590" s="810">
        <f>G1590</f>
        <v>1.38</v>
      </c>
    </row>
    <row r="1591" spans="1:9" ht="21.75" customHeight="1" thickBot="1" x14ac:dyDescent="0.3">
      <c r="A1591" s="830">
        <v>24</v>
      </c>
      <c r="B1591" s="831"/>
      <c r="C1591" s="825" t="s">
        <v>1004</v>
      </c>
      <c r="D1591" s="826"/>
      <c r="E1591" s="826"/>
      <c r="F1591" s="826"/>
      <c r="G1591" s="826"/>
      <c r="H1591" s="827"/>
    </row>
    <row r="1592" spans="1:9" ht="26.25" customHeight="1" thickBot="1" x14ac:dyDescent="0.3">
      <c r="A1592" s="583" t="s">
        <v>1219</v>
      </c>
      <c r="B1592" s="599" t="s">
        <v>985</v>
      </c>
      <c r="C1592" s="596" t="s">
        <v>54</v>
      </c>
      <c r="D1592" s="107" t="s">
        <v>269</v>
      </c>
      <c r="E1592" s="87">
        <v>1</v>
      </c>
      <c r="F1592" s="49">
        <f>SUM(G1593:G1595)/E1592</f>
        <v>63.22</v>
      </c>
      <c r="G1592" s="334">
        <f t="shared" ref="G1592:G1600" si="181">E1592*F1592</f>
        <v>63.22</v>
      </c>
      <c r="H1592" s="659" t="s">
        <v>8</v>
      </c>
      <c r="I1592" s="482">
        <v>63.22</v>
      </c>
    </row>
    <row r="1593" spans="1:9" ht="12" customHeight="1" x14ac:dyDescent="0.25">
      <c r="A1593" s="583"/>
      <c r="B1593" s="435">
        <v>88264</v>
      </c>
      <c r="C1593" s="550" t="s">
        <v>878</v>
      </c>
      <c r="D1593" s="431" t="s">
        <v>257</v>
      </c>
      <c r="E1593" s="371">
        <f>0.9855*E1592</f>
        <v>0.98550000000000004</v>
      </c>
      <c r="F1593" s="433">
        <v>17.920000000000002</v>
      </c>
      <c r="G1593" s="434">
        <f t="shared" si="181"/>
        <v>17.66</v>
      </c>
      <c r="H1593" s="524">
        <f>G1593+G1594</f>
        <v>31.18</v>
      </c>
    </row>
    <row r="1594" spans="1:9" ht="21" customHeight="1" x14ac:dyDescent="0.25">
      <c r="A1594" s="583"/>
      <c r="B1594" s="435">
        <v>88247</v>
      </c>
      <c r="C1594" s="436" t="s">
        <v>877</v>
      </c>
      <c r="D1594" s="431" t="s">
        <v>257</v>
      </c>
      <c r="E1594" s="371">
        <f>0.985*E1592</f>
        <v>0.98499999999999999</v>
      </c>
      <c r="F1594" s="551">
        <v>13.73</v>
      </c>
      <c r="G1594" s="434">
        <f t="shared" si="181"/>
        <v>13.52</v>
      </c>
      <c r="H1594" s="813" t="s">
        <v>9</v>
      </c>
    </row>
    <row r="1595" spans="1:9" ht="24" customHeight="1" thickBot="1" x14ac:dyDescent="0.3">
      <c r="A1595" s="584"/>
      <c r="B1595" s="204">
        <v>11250</v>
      </c>
      <c r="C1595" s="240" t="s">
        <v>1317</v>
      </c>
      <c r="D1595" s="206" t="s">
        <v>269</v>
      </c>
      <c r="E1595" s="207">
        <f>1*E1592</f>
        <v>1</v>
      </c>
      <c r="F1595" s="208">
        <v>32.04</v>
      </c>
      <c r="G1595" s="210">
        <f t="shared" si="181"/>
        <v>32.04</v>
      </c>
      <c r="H1595" s="814">
        <f>G1595</f>
        <v>32.04</v>
      </c>
    </row>
    <row r="1596" spans="1:9" ht="18" customHeight="1" thickBot="1" x14ac:dyDescent="0.3">
      <c r="A1596" s="582" t="s">
        <v>1220</v>
      </c>
      <c r="B1596" s="306" t="s">
        <v>986</v>
      </c>
      <c r="C1596" s="91" t="s">
        <v>55</v>
      </c>
      <c r="D1596" s="67" t="s">
        <v>269</v>
      </c>
      <c r="E1596" s="75">
        <v>1</v>
      </c>
      <c r="F1596" s="30">
        <f>SUM(G1597:G1599)/E1596</f>
        <v>17.54</v>
      </c>
      <c r="G1596" s="45">
        <f t="shared" si="181"/>
        <v>17.54</v>
      </c>
      <c r="H1596" s="549" t="s">
        <v>8</v>
      </c>
      <c r="I1596" s="482">
        <v>17.54</v>
      </c>
    </row>
    <row r="1597" spans="1:9" ht="12" customHeight="1" x14ac:dyDescent="0.25">
      <c r="A1597" s="583"/>
      <c r="B1597" s="435">
        <v>88264</v>
      </c>
      <c r="C1597" s="550" t="s">
        <v>878</v>
      </c>
      <c r="D1597" s="431" t="s">
        <v>257</v>
      </c>
      <c r="E1597" s="371">
        <f>0.292*E1596</f>
        <v>0.29199999999999998</v>
      </c>
      <c r="F1597" s="433">
        <v>17.920000000000002</v>
      </c>
      <c r="G1597" s="434">
        <f t="shared" si="181"/>
        <v>5.23</v>
      </c>
      <c r="H1597" s="524">
        <f>G1597+G1598</f>
        <v>9.23</v>
      </c>
    </row>
    <row r="1598" spans="1:9" ht="23.25" customHeight="1" x14ac:dyDescent="0.25">
      <c r="A1598" s="583"/>
      <c r="B1598" s="435">
        <v>88247</v>
      </c>
      <c r="C1598" s="436" t="s">
        <v>877</v>
      </c>
      <c r="D1598" s="431" t="s">
        <v>257</v>
      </c>
      <c r="E1598" s="371">
        <f>0.291*E1596</f>
        <v>0.29099999999999998</v>
      </c>
      <c r="F1598" s="551">
        <v>13.73</v>
      </c>
      <c r="G1598" s="434">
        <f t="shared" si="181"/>
        <v>4</v>
      </c>
      <c r="H1598" s="813" t="s">
        <v>9</v>
      </c>
    </row>
    <row r="1599" spans="1:9" ht="12" customHeight="1" thickBot="1" x14ac:dyDescent="0.3">
      <c r="A1599" s="584"/>
      <c r="B1599" s="211">
        <v>7527</v>
      </c>
      <c r="C1599" s="552" t="s">
        <v>55</v>
      </c>
      <c r="D1599" s="212" t="s">
        <v>269</v>
      </c>
      <c r="E1599" s="213">
        <f>1*E1596</f>
        <v>1</v>
      </c>
      <c r="F1599" s="214">
        <v>8.31</v>
      </c>
      <c r="G1599" s="215">
        <f t="shared" si="181"/>
        <v>8.31</v>
      </c>
      <c r="H1599" s="814">
        <f>G1599</f>
        <v>8.31</v>
      </c>
    </row>
    <row r="1600" spans="1:9" ht="16.5" customHeight="1" thickBot="1" x14ac:dyDescent="0.3">
      <c r="A1600" s="582" t="s">
        <v>1221</v>
      </c>
      <c r="B1600" s="307" t="s">
        <v>987</v>
      </c>
      <c r="C1600" s="506" t="s">
        <v>923</v>
      </c>
      <c r="D1600" s="411" t="s">
        <v>232</v>
      </c>
      <c r="E1600" s="471">
        <v>1</v>
      </c>
      <c r="F1600" s="413">
        <f>SUM(G1601:G1602)/E1600</f>
        <v>0.71</v>
      </c>
      <c r="G1600" s="414">
        <f t="shared" si="181"/>
        <v>0.71</v>
      </c>
      <c r="H1600" s="530">
        <v>0.71</v>
      </c>
    </row>
    <row r="1601" spans="1:8" ht="21" customHeight="1" x14ac:dyDescent="0.25">
      <c r="A1601" s="583"/>
      <c r="B1601" s="415">
        <v>88247</v>
      </c>
      <c r="C1601" s="416" t="s">
        <v>877</v>
      </c>
      <c r="D1601" s="417" t="s">
        <v>257</v>
      </c>
      <c r="E1601" s="503">
        <v>0.04</v>
      </c>
      <c r="F1601" s="26">
        <v>13.73</v>
      </c>
      <c r="G1601" s="418">
        <f>E1601*F1601</f>
        <v>0.55000000000000004</v>
      </c>
      <c r="H1601" s="678"/>
    </row>
    <row r="1602" spans="1:8" ht="23.25" customHeight="1" thickBot="1" x14ac:dyDescent="0.3">
      <c r="A1602" s="584"/>
      <c r="B1602" s="489">
        <v>13348</v>
      </c>
      <c r="C1602" s="529" t="s">
        <v>1305</v>
      </c>
      <c r="D1602" s="491" t="s">
        <v>268</v>
      </c>
      <c r="E1602" s="492">
        <f>1*E1600</f>
        <v>1</v>
      </c>
      <c r="F1602" s="355">
        <v>0.16</v>
      </c>
      <c r="G1602" s="495">
        <f>E1602*F1602</f>
        <v>0.16</v>
      </c>
      <c r="H1602" s="678"/>
    </row>
    <row r="1603" spans="1:8" ht="16.5" customHeight="1" thickBot="1" x14ac:dyDescent="0.3">
      <c r="A1603" s="582" t="s">
        <v>1222</v>
      </c>
      <c r="B1603" s="307" t="s">
        <v>989</v>
      </c>
      <c r="C1603" s="506" t="s">
        <v>925</v>
      </c>
      <c r="D1603" s="411" t="s">
        <v>232</v>
      </c>
      <c r="E1603" s="471">
        <v>1</v>
      </c>
      <c r="F1603" s="413">
        <f>SUM(G1604:G1605)/E1603</f>
        <v>0.73</v>
      </c>
      <c r="G1603" s="414">
        <f>E1603*F1603</f>
        <v>0.73</v>
      </c>
      <c r="H1603" s="530">
        <v>0.73</v>
      </c>
    </row>
    <row r="1604" spans="1:8" ht="22.5" customHeight="1" x14ac:dyDescent="0.25">
      <c r="A1604" s="583"/>
      <c r="B1604" s="415">
        <v>88247</v>
      </c>
      <c r="C1604" s="416" t="s">
        <v>877</v>
      </c>
      <c r="D1604" s="417" t="s">
        <v>257</v>
      </c>
      <c r="E1604" s="503">
        <v>0.04</v>
      </c>
      <c r="F1604" s="26">
        <v>13.73</v>
      </c>
      <c r="G1604" s="418">
        <f>E1604*F1604</f>
        <v>0.55000000000000004</v>
      </c>
      <c r="H1604" s="677"/>
    </row>
    <row r="1605" spans="1:8" ht="24" customHeight="1" thickBot="1" x14ac:dyDescent="0.3">
      <c r="A1605" s="584"/>
      <c r="B1605" s="489">
        <v>13348</v>
      </c>
      <c r="C1605" s="529" t="s">
        <v>1318</v>
      </c>
      <c r="D1605" s="491" t="s">
        <v>268</v>
      </c>
      <c r="E1605" s="492">
        <f>1*E1602</f>
        <v>1</v>
      </c>
      <c r="F1605" s="355">
        <v>0.18</v>
      </c>
      <c r="G1605" s="495">
        <f>E1605*F1605</f>
        <v>0.18</v>
      </c>
      <c r="H1605" s="677"/>
    </row>
    <row r="1606" spans="1:8" ht="16.5" customHeight="1" thickBot="1" x14ac:dyDescent="0.3">
      <c r="A1606" s="582" t="s">
        <v>1223</v>
      </c>
      <c r="B1606" s="307" t="s">
        <v>988</v>
      </c>
      <c r="C1606" s="410" t="s">
        <v>51</v>
      </c>
      <c r="D1606" s="411" t="s">
        <v>268</v>
      </c>
      <c r="E1606" s="471">
        <v>1</v>
      </c>
      <c r="F1606" s="413">
        <f>SUM(G1607:G1609)/E1606</f>
        <v>5.01</v>
      </c>
      <c r="G1606" s="414">
        <f t="shared" ref="G1606:G1610" si="182">E1606*F1606</f>
        <v>5.01</v>
      </c>
      <c r="H1606" s="530">
        <v>5.01</v>
      </c>
    </row>
    <row r="1607" spans="1:8" ht="12" customHeight="1" x14ac:dyDescent="0.25">
      <c r="A1607" s="583"/>
      <c r="B1607" s="415">
        <v>88264</v>
      </c>
      <c r="C1607" s="504" t="s">
        <v>878</v>
      </c>
      <c r="D1607" s="417" t="s">
        <v>257</v>
      </c>
      <c r="E1607" s="503">
        <f>0.1575*E1606</f>
        <v>0.1575</v>
      </c>
      <c r="F1607" s="15">
        <v>17.920000000000002</v>
      </c>
      <c r="G1607" s="418">
        <f t="shared" si="182"/>
        <v>2.82</v>
      </c>
      <c r="H1607" s="677"/>
    </row>
    <row r="1608" spans="1:8" ht="25.5" customHeight="1" x14ac:dyDescent="0.25">
      <c r="A1608" s="583"/>
      <c r="B1608" s="415">
        <v>88247</v>
      </c>
      <c r="C1608" s="416" t="s">
        <v>877</v>
      </c>
      <c r="D1608" s="417" t="s">
        <v>257</v>
      </c>
      <c r="E1608" s="503">
        <f>0.157*E1606</f>
        <v>0.157</v>
      </c>
      <c r="F1608" s="26">
        <v>13.73</v>
      </c>
      <c r="G1608" s="418">
        <f t="shared" si="182"/>
        <v>2.16</v>
      </c>
      <c r="H1608" s="677"/>
    </row>
    <row r="1609" spans="1:8" ht="12" customHeight="1" thickBot="1" x14ac:dyDescent="0.3">
      <c r="A1609" s="584"/>
      <c r="B1609" s="489">
        <v>11945</v>
      </c>
      <c r="C1609" s="531" t="s">
        <v>926</v>
      </c>
      <c r="D1609" s="491" t="s">
        <v>268</v>
      </c>
      <c r="E1609" s="492">
        <f>1*E1606</f>
        <v>1</v>
      </c>
      <c r="F1609" s="355">
        <v>0.03</v>
      </c>
      <c r="G1609" s="495">
        <f t="shared" si="182"/>
        <v>0.03</v>
      </c>
      <c r="H1609" s="677"/>
    </row>
    <row r="1610" spans="1:8" ht="18.75" customHeight="1" thickBot="1" x14ac:dyDescent="0.3">
      <c r="A1610" s="582" t="s">
        <v>1224</v>
      </c>
      <c r="B1610" s="307" t="s">
        <v>990</v>
      </c>
      <c r="C1610" s="410" t="s">
        <v>52</v>
      </c>
      <c r="D1610" s="411" t="s">
        <v>268</v>
      </c>
      <c r="E1610" s="471">
        <v>1</v>
      </c>
      <c r="F1610" s="413">
        <f>SUM(G1611:G1612)/E1610</f>
        <v>1.1499999999999999</v>
      </c>
      <c r="G1610" s="414">
        <f t="shared" si="182"/>
        <v>1.1499999999999999</v>
      </c>
      <c r="H1610" s="530">
        <v>1.1499999999999999</v>
      </c>
    </row>
    <row r="1611" spans="1:8" ht="27" customHeight="1" x14ac:dyDescent="0.25">
      <c r="A1611" s="583"/>
      <c r="B1611" s="415">
        <v>88247</v>
      </c>
      <c r="C1611" s="416" t="s">
        <v>877</v>
      </c>
      <c r="D1611" s="417" t="s">
        <v>257</v>
      </c>
      <c r="E1611" s="503">
        <f>0.0795*E1610</f>
        <v>7.9500000000000001E-2</v>
      </c>
      <c r="F1611" s="26">
        <v>13.73</v>
      </c>
      <c r="G1611" s="418">
        <f>F1611*E1611</f>
        <v>1.0900000000000001</v>
      </c>
      <c r="H1611" s="677"/>
    </row>
    <row r="1612" spans="1:8" ht="24.75" customHeight="1" thickBot="1" x14ac:dyDescent="0.3">
      <c r="A1612" s="584"/>
      <c r="B1612" s="350">
        <v>11055</v>
      </c>
      <c r="C1612" s="529" t="s">
        <v>53</v>
      </c>
      <c r="D1612" s="491" t="s">
        <v>268</v>
      </c>
      <c r="E1612" s="492">
        <f>1*E1610</f>
        <v>1</v>
      </c>
      <c r="F1612" s="355">
        <v>0.06</v>
      </c>
      <c r="G1612" s="495">
        <f>F1612*E1612</f>
        <v>0.06</v>
      </c>
      <c r="H1612" s="677"/>
    </row>
    <row r="1613" spans="1:8" ht="15.75" customHeight="1" thickBot="1" x14ac:dyDescent="0.3">
      <c r="A1613" s="582" t="s">
        <v>1225</v>
      </c>
      <c r="B1613" s="307" t="s">
        <v>998</v>
      </c>
      <c r="C1613" s="506" t="s">
        <v>927</v>
      </c>
      <c r="D1613" s="411" t="s">
        <v>268</v>
      </c>
      <c r="E1613" s="471">
        <v>1</v>
      </c>
      <c r="F1613" s="413">
        <f>SUM(G1614:G1615)/E1613</f>
        <v>1.62</v>
      </c>
      <c r="G1613" s="414">
        <f>E1613*F1613</f>
        <v>1.62</v>
      </c>
      <c r="H1613" s="530">
        <v>1.62</v>
      </c>
    </row>
    <row r="1614" spans="1:8" ht="24.75" customHeight="1" x14ac:dyDescent="0.25">
      <c r="A1614" s="583"/>
      <c r="B1614" s="415">
        <v>88247</v>
      </c>
      <c r="C1614" s="416" t="s">
        <v>877</v>
      </c>
      <c r="D1614" s="417" t="s">
        <v>257</v>
      </c>
      <c r="E1614" s="503">
        <v>9.5699999999999993E-2</v>
      </c>
      <c r="F1614" s="26">
        <v>13.73</v>
      </c>
      <c r="G1614" s="418">
        <f>F1614*E1614</f>
        <v>1.31</v>
      </c>
      <c r="H1614" s="677"/>
    </row>
    <row r="1615" spans="1:8" ht="27" customHeight="1" thickBot="1" x14ac:dyDescent="0.3">
      <c r="A1615" s="584"/>
      <c r="B1615" s="350">
        <v>11058</v>
      </c>
      <c r="C1615" s="529" t="s">
        <v>928</v>
      </c>
      <c r="D1615" s="491" t="s">
        <v>268</v>
      </c>
      <c r="E1615" s="492">
        <f>1*E1613</f>
        <v>1</v>
      </c>
      <c r="F1615" s="355">
        <v>0.31</v>
      </c>
      <c r="G1615" s="495">
        <f>F1615*E1615</f>
        <v>0.31</v>
      </c>
      <c r="H1615" s="677"/>
    </row>
    <row r="1616" spans="1:8" ht="26.25" customHeight="1" thickBot="1" x14ac:dyDescent="0.3">
      <c r="A1616" s="582" t="s">
        <v>1226</v>
      </c>
      <c r="B1616" s="307" t="s">
        <v>991</v>
      </c>
      <c r="C1616" s="532" t="s">
        <v>929</v>
      </c>
      <c r="D1616" s="411" t="s">
        <v>268</v>
      </c>
      <c r="E1616" s="471">
        <v>1</v>
      </c>
      <c r="F1616" s="413">
        <f>SUM(G1617:G1618)/E1616</f>
        <v>2.09</v>
      </c>
      <c r="G1616" s="414">
        <f>E1616*F1616</f>
        <v>2.09</v>
      </c>
      <c r="H1616" s="530">
        <v>2.09</v>
      </c>
    </row>
    <row r="1617" spans="1:8" ht="23.25" customHeight="1" x14ac:dyDescent="0.25">
      <c r="A1617" s="583"/>
      <c r="B1617" s="415">
        <v>88247</v>
      </c>
      <c r="C1617" s="416" t="s">
        <v>877</v>
      </c>
      <c r="D1617" s="417" t="s">
        <v>257</v>
      </c>
      <c r="E1617" s="503">
        <v>0.1195</v>
      </c>
      <c r="F1617" s="26">
        <v>13.73</v>
      </c>
      <c r="G1617" s="418">
        <f>F1617*E1617</f>
        <v>1.64</v>
      </c>
      <c r="H1617" s="677"/>
    </row>
    <row r="1618" spans="1:8" ht="27.75" customHeight="1" thickBot="1" x14ac:dyDescent="0.3">
      <c r="A1618" s="584"/>
      <c r="B1618" s="350" t="s">
        <v>16</v>
      </c>
      <c r="C1618" s="525" t="s">
        <v>929</v>
      </c>
      <c r="D1618" s="491" t="s">
        <v>268</v>
      </c>
      <c r="E1618" s="492">
        <f>1*E1616</f>
        <v>1</v>
      </c>
      <c r="F1618" s="355">
        <v>0.45</v>
      </c>
      <c r="G1618" s="495">
        <f>F1618*E1618</f>
        <v>0.45</v>
      </c>
      <c r="H1618" s="677"/>
    </row>
    <row r="1619" spans="1:8" ht="18" customHeight="1" thickBot="1" x14ac:dyDescent="0.3">
      <c r="A1619" s="582" t="s">
        <v>1227</v>
      </c>
      <c r="B1619" s="307" t="s">
        <v>992</v>
      </c>
      <c r="C1619" s="506" t="s">
        <v>930</v>
      </c>
      <c r="D1619" s="411" t="s">
        <v>268</v>
      </c>
      <c r="E1619" s="471">
        <v>1</v>
      </c>
      <c r="F1619" s="413">
        <f>SUM(G1620:G1621)/E1619</f>
        <v>0.17</v>
      </c>
      <c r="G1619" s="414">
        <f>E1619*F1619</f>
        <v>0.17</v>
      </c>
      <c r="H1619" s="530">
        <v>0.17</v>
      </c>
    </row>
    <row r="1620" spans="1:8" ht="12" customHeight="1" x14ac:dyDescent="0.25">
      <c r="A1620" s="583"/>
      <c r="B1620" s="313">
        <v>14148</v>
      </c>
      <c r="C1620" s="314" t="s">
        <v>1319</v>
      </c>
      <c r="D1620" s="315" t="s">
        <v>268</v>
      </c>
      <c r="E1620" s="316">
        <v>1</v>
      </c>
      <c r="F1620" s="317">
        <v>0.06</v>
      </c>
      <c r="G1620" s="349">
        <f>F1620*E1620</f>
        <v>0.06</v>
      </c>
      <c r="H1620" s="677"/>
    </row>
    <row r="1621" spans="1:8" ht="26.25" customHeight="1" thickBot="1" x14ac:dyDescent="0.3">
      <c r="A1621" s="584"/>
      <c r="B1621" s="419">
        <v>88247</v>
      </c>
      <c r="C1621" s="420" t="s">
        <v>877</v>
      </c>
      <c r="D1621" s="457" t="s">
        <v>257</v>
      </c>
      <c r="E1621" s="458">
        <v>8.0000000000000002E-3</v>
      </c>
      <c r="F1621" s="99">
        <v>13.73</v>
      </c>
      <c r="G1621" s="475">
        <f>F1621*E1621</f>
        <v>0.11</v>
      </c>
      <c r="H1621" s="677"/>
    </row>
    <row r="1622" spans="1:8" ht="16.5" customHeight="1" thickBot="1" x14ac:dyDescent="0.3">
      <c r="A1622" s="582" t="s">
        <v>1228</v>
      </c>
      <c r="B1622" s="307" t="s">
        <v>993</v>
      </c>
      <c r="C1622" s="506" t="s">
        <v>932</v>
      </c>
      <c r="D1622" s="411" t="s">
        <v>268</v>
      </c>
      <c r="E1622" s="471">
        <v>1</v>
      </c>
      <c r="F1622" s="413">
        <f>SUM(G1623:G1625)/E1622</f>
        <v>7.1</v>
      </c>
      <c r="G1622" s="414">
        <f>E1622*F1622</f>
        <v>7.1</v>
      </c>
      <c r="H1622" s="530">
        <v>0.46</v>
      </c>
    </row>
    <row r="1623" spans="1:8" ht="12" customHeight="1" x14ac:dyDescent="0.25">
      <c r="A1623" s="583"/>
      <c r="B1623" s="313">
        <v>4342</v>
      </c>
      <c r="C1623" s="314" t="s">
        <v>933</v>
      </c>
      <c r="D1623" s="315" t="s">
        <v>268</v>
      </c>
      <c r="E1623" s="316">
        <v>1</v>
      </c>
      <c r="F1623" s="317">
        <v>0.35</v>
      </c>
      <c r="G1623" s="349">
        <f>F1623*E1623</f>
        <v>0.35</v>
      </c>
      <c r="H1623" s="677"/>
    </row>
    <row r="1624" spans="1:8" ht="23.25" customHeight="1" thickBot="1" x14ac:dyDescent="0.3">
      <c r="A1624" s="584"/>
      <c r="B1624" s="444">
        <v>88247</v>
      </c>
      <c r="C1624" s="445" t="s">
        <v>877</v>
      </c>
      <c r="D1624" s="446" t="s">
        <v>257</v>
      </c>
      <c r="E1624" s="499">
        <v>8.0000000000000002E-3</v>
      </c>
      <c r="F1624" s="100">
        <v>13.73</v>
      </c>
      <c r="G1624" s="500">
        <f>F1624*E1624</f>
        <v>0.11</v>
      </c>
      <c r="H1624" s="677"/>
    </row>
    <row r="1625" spans="1:8" ht="17.25" customHeight="1" thickBot="1" x14ac:dyDescent="0.3">
      <c r="A1625" s="582" t="s">
        <v>1229</v>
      </c>
      <c r="B1625" s="307" t="s">
        <v>994</v>
      </c>
      <c r="C1625" s="533" t="s">
        <v>943</v>
      </c>
      <c r="D1625" s="411" t="s">
        <v>268</v>
      </c>
      <c r="E1625" s="471">
        <v>1</v>
      </c>
      <c r="F1625" s="413">
        <f>SUM(G1626:G1627)/E1625</f>
        <v>6.64</v>
      </c>
      <c r="G1625" s="414">
        <f>E1625*F1625</f>
        <v>6.64</v>
      </c>
      <c r="H1625" s="530">
        <f>6.64</f>
        <v>6.64</v>
      </c>
    </row>
    <row r="1626" spans="1:8" ht="12" customHeight="1" x14ac:dyDescent="0.25">
      <c r="A1626" s="583"/>
      <c r="B1626" s="313" t="s">
        <v>16</v>
      </c>
      <c r="C1626" s="314" t="s">
        <v>943</v>
      </c>
      <c r="D1626" s="315" t="s">
        <v>268</v>
      </c>
      <c r="E1626" s="316">
        <v>1</v>
      </c>
      <c r="F1626" s="317">
        <v>5</v>
      </c>
      <c r="G1626" s="349">
        <f>F1626*E1626</f>
        <v>5</v>
      </c>
      <c r="H1626" s="678"/>
    </row>
    <row r="1627" spans="1:8" ht="24" customHeight="1" thickBot="1" x14ac:dyDescent="0.3">
      <c r="A1627" s="584"/>
      <c r="B1627" s="441">
        <v>88247</v>
      </c>
      <c r="C1627" s="442" t="s">
        <v>877</v>
      </c>
      <c r="D1627" s="443" t="s">
        <v>257</v>
      </c>
      <c r="E1627" s="534">
        <v>0.1195</v>
      </c>
      <c r="F1627" s="535">
        <v>13.73</v>
      </c>
      <c r="G1627" s="536">
        <f>F1627*E1627</f>
        <v>1.64</v>
      </c>
      <c r="H1627" s="678"/>
    </row>
    <row r="1628" spans="1:8" ht="16.5" customHeight="1" thickBot="1" x14ac:dyDescent="0.3">
      <c r="A1628" s="582" t="s">
        <v>1230</v>
      </c>
      <c r="B1628" s="307" t="s">
        <v>995</v>
      </c>
      <c r="C1628" s="506" t="s">
        <v>944</v>
      </c>
      <c r="D1628" s="411" t="s">
        <v>268</v>
      </c>
      <c r="E1628" s="471">
        <v>1</v>
      </c>
      <c r="F1628" s="413">
        <f>SUM(G1629:G1631)/E1628</f>
        <v>7.48</v>
      </c>
      <c r="G1628" s="414">
        <f>E1628*F1628</f>
        <v>7.48</v>
      </c>
      <c r="H1628" s="530">
        <v>7.48</v>
      </c>
    </row>
    <row r="1629" spans="1:8" ht="12" customHeight="1" x14ac:dyDescent="0.25">
      <c r="A1629" s="583"/>
      <c r="B1629" s="415">
        <v>88264</v>
      </c>
      <c r="C1629" s="504" t="s">
        <v>878</v>
      </c>
      <c r="D1629" s="14" t="s">
        <v>257</v>
      </c>
      <c r="E1629" s="21">
        <v>0.189</v>
      </c>
      <c r="F1629" s="15">
        <v>17.920000000000002</v>
      </c>
      <c r="G1629" s="33">
        <f>F1629*E1629</f>
        <v>3.39</v>
      </c>
      <c r="H1629" s="678"/>
    </row>
    <row r="1630" spans="1:8" ht="24" customHeight="1" x14ac:dyDescent="0.25">
      <c r="A1630" s="583"/>
      <c r="B1630" s="415">
        <v>88247</v>
      </c>
      <c r="C1630" s="416" t="s">
        <v>877</v>
      </c>
      <c r="D1630" s="14" t="s">
        <v>257</v>
      </c>
      <c r="E1630" s="21">
        <v>0.189</v>
      </c>
      <c r="F1630" s="99">
        <v>13.73</v>
      </c>
      <c r="G1630" s="33">
        <f>F1630*E1630</f>
        <v>2.59</v>
      </c>
      <c r="H1630" s="678"/>
    </row>
    <row r="1631" spans="1:8" ht="12" customHeight="1" thickBot="1" x14ac:dyDescent="0.3">
      <c r="A1631" s="584"/>
      <c r="B1631" s="350" t="s">
        <v>16</v>
      </c>
      <c r="C1631" s="529" t="s">
        <v>944</v>
      </c>
      <c r="D1631" s="491" t="s">
        <v>268</v>
      </c>
      <c r="E1631" s="492">
        <v>1</v>
      </c>
      <c r="F1631" s="355">
        <v>1.5</v>
      </c>
      <c r="G1631" s="495">
        <f>F1631*E1631</f>
        <v>1.5</v>
      </c>
      <c r="H1631" s="678"/>
    </row>
    <row r="1632" spans="1:8" ht="17.25" customHeight="1" thickBot="1" x14ac:dyDescent="0.3">
      <c r="A1632" s="582" t="s">
        <v>1231</v>
      </c>
      <c r="B1632" s="307" t="s">
        <v>996</v>
      </c>
      <c r="C1632" s="506" t="s">
        <v>972</v>
      </c>
      <c r="D1632" s="411" t="s">
        <v>232</v>
      </c>
      <c r="E1632" s="471">
        <v>1</v>
      </c>
      <c r="F1632" s="413">
        <f>SUM(G1633:G1635)/E1632</f>
        <v>26.01</v>
      </c>
      <c r="G1632" s="414">
        <f>E1632*F1632</f>
        <v>26.01</v>
      </c>
      <c r="H1632" s="530">
        <v>26.01</v>
      </c>
    </row>
    <row r="1633" spans="1:9" ht="12" customHeight="1" x14ac:dyDescent="0.25">
      <c r="A1633" s="583"/>
      <c r="B1633" s="415">
        <v>88264</v>
      </c>
      <c r="C1633" s="504" t="s">
        <v>878</v>
      </c>
      <c r="D1633" s="425" t="s">
        <v>257</v>
      </c>
      <c r="E1633" s="426">
        <v>0.316</v>
      </c>
      <c r="F1633" s="15">
        <v>17.920000000000002</v>
      </c>
      <c r="G1633" s="428">
        <f>F1633*E1633</f>
        <v>5.66</v>
      </c>
      <c r="H1633" s="716"/>
    </row>
    <row r="1634" spans="1:9" ht="21" customHeight="1" x14ac:dyDescent="0.25">
      <c r="A1634" s="583"/>
      <c r="B1634" s="415">
        <v>88247</v>
      </c>
      <c r="C1634" s="416" t="s">
        <v>877</v>
      </c>
      <c r="D1634" s="425" t="s">
        <v>257</v>
      </c>
      <c r="E1634" s="426">
        <v>0.315</v>
      </c>
      <c r="F1634" s="26">
        <v>13.73</v>
      </c>
      <c r="G1634" s="428">
        <f>F1634*E1634</f>
        <v>4.32</v>
      </c>
      <c r="H1634" s="716"/>
    </row>
    <row r="1635" spans="1:9" ht="12" customHeight="1" thickBot="1" x14ac:dyDescent="0.3">
      <c r="A1635" s="584"/>
      <c r="B1635" s="489" t="s">
        <v>16</v>
      </c>
      <c r="C1635" s="525" t="s">
        <v>972</v>
      </c>
      <c r="D1635" s="491" t="s">
        <v>232</v>
      </c>
      <c r="E1635" s="492">
        <f>1*E1632</f>
        <v>1</v>
      </c>
      <c r="F1635" s="355">
        <v>16.03</v>
      </c>
      <c r="G1635" s="495">
        <f>F1635*E1635</f>
        <v>16.03</v>
      </c>
      <c r="H1635" s="716"/>
    </row>
    <row r="1636" spans="1:9" ht="19.5" customHeight="1" thickBot="1" x14ac:dyDescent="0.3">
      <c r="A1636" s="582" t="s">
        <v>1232</v>
      </c>
      <c r="B1636" s="307" t="s">
        <v>997</v>
      </c>
      <c r="C1636" s="506" t="s">
        <v>973</v>
      </c>
      <c r="D1636" s="411" t="s">
        <v>268</v>
      </c>
      <c r="E1636" s="471">
        <v>1</v>
      </c>
      <c r="F1636" s="413">
        <f>SUM(G1637:G1639)/E1636</f>
        <v>8.26</v>
      </c>
      <c r="G1636" s="414">
        <f>E1636*F1636</f>
        <v>8.26</v>
      </c>
      <c r="H1636" s="530">
        <v>8.26</v>
      </c>
    </row>
    <row r="1637" spans="1:9" ht="12" customHeight="1" x14ac:dyDescent="0.25">
      <c r="A1637" s="583"/>
      <c r="B1637" s="415">
        <v>88264</v>
      </c>
      <c r="C1637" s="504" t="s">
        <v>878</v>
      </c>
      <c r="D1637" s="425" t="s">
        <v>257</v>
      </c>
      <c r="E1637" s="426">
        <v>0.155</v>
      </c>
      <c r="F1637" s="15">
        <v>17.920000000000002</v>
      </c>
      <c r="G1637" s="428">
        <f>F1637*E1637</f>
        <v>2.78</v>
      </c>
      <c r="H1637" s="716"/>
    </row>
    <row r="1638" spans="1:9" ht="22.5" customHeight="1" x14ac:dyDescent="0.25">
      <c r="A1638" s="583"/>
      <c r="B1638" s="415">
        <v>88247</v>
      </c>
      <c r="C1638" s="416" t="s">
        <v>877</v>
      </c>
      <c r="D1638" s="425" t="s">
        <v>257</v>
      </c>
      <c r="E1638" s="426">
        <v>0.16</v>
      </c>
      <c r="F1638" s="26">
        <v>13.73</v>
      </c>
      <c r="G1638" s="428">
        <f>F1638*E1638</f>
        <v>2.2000000000000002</v>
      </c>
      <c r="H1638" s="716"/>
    </row>
    <row r="1639" spans="1:9" ht="12" customHeight="1" thickBot="1" x14ac:dyDescent="0.3">
      <c r="A1639" s="584"/>
      <c r="B1639" s="489" t="s">
        <v>16</v>
      </c>
      <c r="C1639" s="525" t="s">
        <v>973</v>
      </c>
      <c r="D1639" s="491" t="s">
        <v>268</v>
      </c>
      <c r="E1639" s="492">
        <f>1*E1636</f>
        <v>1</v>
      </c>
      <c r="F1639" s="355">
        <f>2.1*1.3*1.2</f>
        <v>3.28</v>
      </c>
      <c r="G1639" s="495">
        <f>F1639*E1639</f>
        <v>3.28</v>
      </c>
      <c r="H1639" s="716"/>
    </row>
    <row r="1640" spans="1:9" ht="15" customHeight="1" thickBot="1" x14ac:dyDescent="0.3">
      <c r="A1640" s="582" t="s">
        <v>1233</v>
      </c>
      <c r="B1640" s="307" t="s">
        <v>999</v>
      </c>
      <c r="C1640" s="506" t="s">
        <v>914</v>
      </c>
      <c r="D1640" s="411" t="s">
        <v>268</v>
      </c>
      <c r="E1640" s="471">
        <v>1</v>
      </c>
      <c r="F1640" s="413">
        <f>SUM(G1641:G1643)/E1640</f>
        <v>6.78</v>
      </c>
      <c r="G1640" s="414">
        <f>E1640*F1640</f>
        <v>6.78</v>
      </c>
      <c r="H1640" s="530">
        <v>6.78</v>
      </c>
    </row>
    <row r="1641" spans="1:9" ht="12" customHeight="1" x14ac:dyDescent="0.25">
      <c r="A1641" s="583"/>
      <c r="B1641" s="415">
        <v>88264</v>
      </c>
      <c r="C1641" s="504" t="s">
        <v>878</v>
      </c>
      <c r="D1641" s="425" t="s">
        <v>257</v>
      </c>
      <c r="E1641" s="426">
        <v>0.15</v>
      </c>
      <c r="F1641" s="15">
        <v>17.920000000000002</v>
      </c>
      <c r="G1641" s="428">
        <f>F1641*E1641</f>
        <v>2.69</v>
      </c>
      <c r="H1641" s="716"/>
    </row>
    <row r="1642" spans="1:9" ht="22.5" customHeight="1" x14ac:dyDescent="0.25">
      <c r="A1642" s="583"/>
      <c r="B1642" s="415">
        <v>88247</v>
      </c>
      <c r="C1642" s="416" t="s">
        <v>877</v>
      </c>
      <c r="D1642" s="425" t="s">
        <v>257</v>
      </c>
      <c r="E1642" s="426">
        <v>0.15</v>
      </c>
      <c r="F1642" s="26">
        <v>13.73</v>
      </c>
      <c r="G1642" s="428">
        <f>F1642*E1642</f>
        <v>2.06</v>
      </c>
      <c r="H1642" s="716"/>
    </row>
    <row r="1643" spans="1:9" ht="12" customHeight="1" thickBot="1" x14ac:dyDescent="0.3">
      <c r="A1643" s="584"/>
      <c r="B1643" s="489" t="s">
        <v>16</v>
      </c>
      <c r="C1643" s="525" t="s">
        <v>914</v>
      </c>
      <c r="D1643" s="491" t="s">
        <v>268</v>
      </c>
      <c r="E1643" s="492">
        <f>1*E1640</f>
        <v>1</v>
      </c>
      <c r="F1643" s="355">
        <v>2.0299999999999998</v>
      </c>
      <c r="G1643" s="495">
        <f>F1643*E1643</f>
        <v>2.0299999999999998</v>
      </c>
      <c r="H1643" s="716"/>
    </row>
    <row r="1644" spans="1:9" ht="18.75" customHeight="1" thickBot="1" x14ac:dyDescent="0.3">
      <c r="A1644" s="582" t="s">
        <v>1234</v>
      </c>
      <c r="B1644" s="307" t="s">
        <v>1000</v>
      </c>
      <c r="C1644" s="506" t="s">
        <v>974</v>
      </c>
      <c r="D1644" s="411" t="s">
        <v>268</v>
      </c>
      <c r="E1644" s="471">
        <v>1</v>
      </c>
      <c r="F1644" s="413">
        <f>SUM(G1645:G1647)/E1644</f>
        <v>13.99</v>
      </c>
      <c r="G1644" s="414">
        <f>E1644*F1644</f>
        <v>13.99</v>
      </c>
      <c r="H1644" s="530">
        <v>13.99</v>
      </c>
    </row>
    <row r="1645" spans="1:9" ht="12" customHeight="1" x14ac:dyDescent="0.25">
      <c r="A1645" s="583"/>
      <c r="B1645" s="415">
        <v>88264</v>
      </c>
      <c r="C1645" s="504" t="s">
        <v>878</v>
      </c>
      <c r="D1645" s="425" t="s">
        <v>257</v>
      </c>
      <c r="E1645" s="426">
        <v>0.28000000000000003</v>
      </c>
      <c r="F1645" s="15">
        <v>17.920000000000002</v>
      </c>
      <c r="G1645" s="428">
        <f>F1645*E1645</f>
        <v>5.0199999999999996</v>
      </c>
      <c r="H1645" s="716"/>
    </row>
    <row r="1646" spans="1:9" ht="24.75" customHeight="1" x14ac:dyDescent="0.25">
      <c r="A1646" s="583"/>
      <c r="B1646" s="415">
        <v>88247</v>
      </c>
      <c r="C1646" s="416" t="s">
        <v>877</v>
      </c>
      <c r="D1646" s="425" t="s">
        <v>257</v>
      </c>
      <c r="E1646" s="426">
        <v>0.27</v>
      </c>
      <c r="F1646" s="26">
        <v>13.73</v>
      </c>
      <c r="G1646" s="428">
        <f>F1646*E1646</f>
        <v>3.71</v>
      </c>
      <c r="H1646" s="716"/>
    </row>
    <row r="1647" spans="1:9" ht="12" customHeight="1" thickBot="1" x14ac:dyDescent="0.3">
      <c r="A1647" s="584"/>
      <c r="B1647" s="489">
        <v>7555</v>
      </c>
      <c r="C1647" s="525" t="s">
        <v>915</v>
      </c>
      <c r="D1647" s="491" t="s">
        <v>268</v>
      </c>
      <c r="E1647" s="492">
        <f>1*E1644</f>
        <v>1</v>
      </c>
      <c r="F1647" s="355">
        <f>10.12/3*1.3*1.2</f>
        <v>5.26</v>
      </c>
      <c r="G1647" s="495">
        <f>F1647*E1647</f>
        <v>5.26</v>
      </c>
      <c r="H1647" s="716"/>
    </row>
    <row r="1648" spans="1:9" ht="27" customHeight="1" thickBot="1" x14ac:dyDescent="0.25">
      <c r="A1648" s="582" t="s">
        <v>1235</v>
      </c>
      <c r="B1648" s="335">
        <v>73613</v>
      </c>
      <c r="C1648" s="336" t="s">
        <v>1321</v>
      </c>
      <c r="D1648" s="67" t="s">
        <v>269</v>
      </c>
      <c r="E1648" s="108">
        <v>1</v>
      </c>
      <c r="F1648" s="30">
        <f>SUM(G1649:G1651)/E1648</f>
        <v>11.39</v>
      </c>
      <c r="G1648" s="45">
        <f>E1648*F1648</f>
        <v>11.39</v>
      </c>
      <c r="H1648" s="105" t="s">
        <v>8</v>
      </c>
      <c r="I1648" s="482">
        <v>11.39</v>
      </c>
    </row>
    <row r="1649" spans="1:9" ht="12" customHeight="1" x14ac:dyDescent="0.25">
      <c r="A1649" s="583"/>
      <c r="B1649" s="415">
        <v>88264</v>
      </c>
      <c r="C1649" s="504" t="s">
        <v>878</v>
      </c>
      <c r="D1649" s="425" t="s">
        <v>257</v>
      </c>
      <c r="E1649" s="426">
        <f>E1648*0.3</f>
        <v>0.3</v>
      </c>
      <c r="F1649" s="15">
        <v>17.920000000000002</v>
      </c>
      <c r="G1649" s="428">
        <f>F1649*E1649</f>
        <v>5.38</v>
      </c>
      <c r="H1649" s="220">
        <f>I1648-H1651</f>
        <v>9.5</v>
      </c>
    </row>
    <row r="1650" spans="1:9" ht="22.5" customHeight="1" x14ac:dyDescent="0.25">
      <c r="A1650" s="583"/>
      <c r="B1650" s="415">
        <v>88247</v>
      </c>
      <c r="C1650" s="416" t="s">
        <v>877</v>
      </c>
      <c r="D1650" s="425" t="s">
        <v>257</v>
      </c>
      <c r="E1650" s="426">
        <f>E1648*0.3</f>
        <v>0.3</v>
      </c>
      <c r="F1650" s="26">
        <v>13.73</v>
      </c>
      <c r="G1650" s="428">
        <f>F1650*E1650</f>
        <v>4.12</v>
      </c>
      <c r="H1650" s="754" t="s">
        <v>9</v>
      </c>
    </row>
    <row r="1651" spans="1:9" ht="12" customHeight="1" thickBot="1" x14ac:dyDescent="0.3">
      <c r="A1651" s="584"/>
      <c r="B1651" s="337">
        <v>2674</v>
      </c>
      <c r="C1651" s="338" t="s">
        <v>1320</v>
      </c>
      <c r="D1651" s="339"/>
      <c r="E1651" s="340">
        <v>1.1000000000000001</v>
      </c>
      <c r="F1651" s="341">
        <v>1.72</v>
      </c>
      <c r="G1651" s="342">
        <f>E1651*F1651</f>
        <v>1.89</v>
      </c>
      <c r="H1651" s="810">
        <f>G1651</f>
        <v>1.89</v>
      </c>
    </row>
    <row r="1652" spans="1:9" ht="17.25" customHeight="1" thickBot="1" x14ac:dyDescent="0.3">
      <c r="A1652" s="582" t="s">
        <v>1236</v>
      </c>
      <c r="B1652" s="306" t="s">
        <v>1001</v>
      </c>
      <c r="C1652" s="506" t="s">
        <v>884</v>
      </c>
      <c r="D1652" s="411" t="s">
        <v>268</v>
      </c>
      <c r="E1652" s="471">
        <v>1</v>
      </c>
      <c r="F1652" s="413">
        <f>SUM(G1653:G1656)/E1652</f>
        <v>6.31</v>
      </c>
      <c r="G1652" s="414">
        <f>E1652*F1652</f>
        <v>6.31</v>
      </c>
      <c r="H1652" s="58" t="s">
        <v>8</v>
      </c>
      <c r="I1652" s="482">
        <v>6.31</v>
      </c>
    </row>
    <row r="1653" spans="1:9" ht="12" customHeight="1" x14ac:dyDescent="0.25">
      <c r="A1653" s="583"/>
      <c r="B1653" s="507">
        <v>400</v>
      </c>
      <c r="C1653" s="508" t="s">
        <v>885</v>
      </c>
      <c r="D1653" s="509" t="s">
        <v>268</v>
      </c>
      <c r="E1653" s="512">
        <v>1</v>
      </c>
      <c r="F1653" s="510">
        <v>1.28</v>
      </c>
      <c r="G1653" s="511">
        <f>F1653*E1653</f>
        <v>1.28</v>
      </c>
      <c r="H1653" s="220">
        <f>G1654+G1656</f>
        <v>4.79</v>
      </c>
    </row>
    <row r="1654" spans="1:9" ht="12" customHeight="1" x14ac:dyDescent="0.25">
      <c r="A1654" s="583"/>
      <c r="B1654" s="415">
        <v>88264</v>
      </c>
      <c r="C1654" s="504" t="s">
        <v>878</v>
      </c>
      <c r="D1654" s="437" t="s">
        <v>257</v>
      </c>
      <c r="E1654" s="513">
        <v>0.1515</v>
      </c>
      <c r="F1654" s="439">
        <v>17.920000000000002</v>
      </c>
      <c r="G1654" s="514">
        <f>F1654*E1654</f>
        <v>2.71</v>
      </c>
      <c r="H1654" s="811" t="s">
        <v>9</v>
      </c>
    </row>
    <row r="1655" spans="1:9" ht="12" customHeight="1" thickBot="1" x14ac:dyDescent="0.3">
      <c r="A1655" s="583"/>
      <c r="B1655" s="507">
        <v>4376</v>
      </c>
      <c r="C1655" s="508" t="s">
        <v>886</v>
      </c>
      <c r="D1655" s="509" t="s">
        <v>268</v>
      </c>
      <c r="E1655" s="512">
        <f>164/82</f>
        <v>2</v>
      </c>
      <c r="F1655" s="510">
        <v>0.12</v>
      </c>
      <c r="G1655" s="511">
        <f>F1655*E1655</f>
        <v>0.24</v>
      </c>
      <c r="H1655" s="812">
        <f>G1653+G1655</f>
        <v>1.52</v>
      </c>
    </row>
    <row r="1656" spans="1:9" ht="23.25" customHeight="1" thickBot="1" x14ac:dyDescent="0.25">
      <c r="A1656" s="584"/>
      <c r="B1656" s="419">
        <v>88247</v>
      </c>
      <c r="C1656" s="420" t="s">
        <v>877</v>
      </c>
      <c r="D1656" s="446" t="s">
        <v>257</v>
      </c>
      <c r="E1656" s="515">
        <v>0.1515</v>
      </c>
      <c r="F1656" s="448">
        <v>13.73</v>
      </c>
      <c r="G1656" s="500">
        <f>F1656*E1656</f>
        <v>2.08</v>
      </c>
      <c r="H1656" s="714"/>
    </row>
    <row r="1657" spans="1:9" ht="18.75" customHeight="1" thickBot="1" x14ac:dyDescent="0.3">
      <c r="A1657" s="582" t="s">
        <v>1237</v>
      </c>
      <c r="B1657" s="306" t="s">
        <v>1002</v>
      </c>
      <c r="C1657" s="410" t="s">
        <v>252</v>
      </c>
      <c r="D1657" s="411" t="s">
        <v>268</v>
      </c>
      <c r="E1657" s="412">
        <v>1</v>
      </c>
      <c r="F1657" s="413">
        <f>SUM(G1658:G1660)/E1657</f>
        <v>1.86</v>
      </c>
      <c r="G1657" s="414">
        <f>E1657*F1657</f>
        <v>1.86</v>
      </c>
      <c r="H1657" s="58" t="s">
        <v>8</v>
      </c>
      <c r="I1657" s="482">
        <v>1.86</v>
      </c>
    </row>
    <row r="1658" spans="1:9" ht="12" customHeight="1" x14ac:dyDescent="0.25">
      <c r="A1658" s="583"/>
      <c r="B1658" s="313">
        <v>1891</v>
      </c>
      <c r="C1658" s="314" t="s">
        <v>0</v>
      </c>
      <c r="D1658" s="315" t="s">
        <v>268</v>
      </c>
      <c r="E1658" s="359">
        <f>1*E1657</f>
        <v>1</v>
      </c>
      <c r="F1658" s="517">
        <v>1.06</v>
      </c>
      <c r="G1658" s="349">
        <f>F1658*E1658</f>
        <v>1.06</v>
      </c>
      <c r="H1658" s="220">
        <f>G1659+G1660</f>
        <v>0.8</v>
      </c>
    </row>
    <row r="1659" spans="1:9" ht="12" customHeight="1" x14ac:dyDescent="0.25">
      <c r="A1659" s="583"/>
      <c r="B1659" s="415">
        <v>88264</v>
      </c>
      <c r="C1659" s="504" t="s">
        <v>878</v>
      </c>
      <c r="D1659" s="437" t="s">
        <v>257</v>
      </c>
      <c r="E1659" s="513">
        <v>2.53E-2</v>
      </c>
      <c r="F1659" s="15">
        <v>17.920000000000002</v>
      </c>
      <c r="G1659" s="514">
        <f>F1659*E1659</f>
        <v>0.45</v>
      </c>
      <c r="H1659" s="811" t="s">
        <v>9</v>
      </c>
    </row>
    <row r="1660" spans="1:9" ht="23.25" customHeight="1" thickBot="1" x14ac:dyDescent="0.3">
      <c r="A1660" s="584"/>
      <c r="B1660" s="419">
        <v>88247</v>
      </c>
      <c r="C1660" s="420" t="s">
        <v>877</v>
      </c>
      <c r="D1660" s="446" t="s">
        <v>257</v>
      </c>
      <c r="E1660" s="515">
        <v>2.53E-2</v>
      </c>
      <c r="F1660" s="537">
        <v>13.73</v>
      </c>
      <c r="G1660" s="500">
        <f>F1660*E1660</f>
        <v>0.35</v>
      </c>
      <c r="H1660" s="812">
        <f>G1658</f>
        <v>1.06</v>
      </c>
    </row>
    <row r="1661" spans="1:9" ht="23.25" thickBot="1" x14ac:dyDescent="0.25">
      <c r="A1661" s="582" t="s">
        <v>1238</v>
      </c>
      <c r="B1661" s="335">
        <v>83387</v>
      </c>
      <c r="C1661" s="336" t="s">
        <v>1322</v>
      </c>
      <c r="D1661" s="67" t="s">
        <v>269</v>
      </c>
      <c r="E1661" s="108">
        <v>1</v>
      </c>
      <c r="F1661" s="30">
        <f>SUM(G1662:G1664)/E1661</f>
        <v>6.13</v>
      </c>
      <c r="G1661" s="45">
        <f>E1661*F1661</f>
        <v>6.13</v>
      </c>
      <c r="H1661" s="105" t="s">
        <v>8</v>
      </c>
      <c r="I1661" s="482">
        <v>6.13</v>
      </c>
    </row>
    <row r="1662" spans="1:9" x14ac:dyDescent="0.25">
      <c r="A1662" s="583"/>
      <c r="B1662" s="415">
        <v>88264</v>
      </c>
      <c r="C1662" s="504" t="s">
        <v>878</v>
      </c>
      <c r="D1662" s="425" t="s">
        <v>257</v>
      </c>
      <c r="E1662" s="426">
        <f>E1661*0.15</f>
        <v>0.15</v>
      </c>
      <c r="F1662" s="15">
        <v>17.920000000000002</v>
      </c>
      <c r="G1662" s="428">
        <f>F1662*E1662</f>
        <v>2.69</v>
      </c>
      <c r="H1662" s="220">
        <f>I1661-H1664</f>
        <v>4.75</v>
      </c>
    </row>
    <row r="1663" spans="1:9" x14ac:dyDescent="0.25">
      <c r="A1663" s="583"/>
      <c r="B1663" s="415">
        <v>88247</v>
      </c>
      <c r="C1663" s="416" t="s">
        <v>877</v>
      </c>
      <c r="D1663" s="425" t="s">
        <v>257</v>
      </c>
      <c r="E1663" s="426">
        <f>E1661*0.15</f>
        <v>0.15</v>
      </c>
      <c r="F1663" s="26">
        <v>13.73</v>
      </c>
      <c r="G1663" s="428">
        <f>F1663*E1663</f>
        <v>2.06</v>
      </c>
      <c r="H1663" s="754" t="s">
        <v>9</v>
      </c>
    </row>
    <row r="1664" spans="1:9" ht="12" thickBot="1" x14ac:dyDescent="0.3">
      <c r="A1664" s="584"/>
      <c r="B1664" s="337">
        <v>1872</v>
      </c>
      <c r="C1664" s="338" t="s">
        <v>626</v>
      </c>
      <c r="D1664" s="339"/>
      <c r="E1664" s="340">
        <v>1</v>
      </c>
      <c r="F1664" s="341">
        <v>1.38</v>
      </c>
      <c r="G1664" s="342">
        <f>E1664*F1664</f>
        <v>1.38</v>
      </c>
      <c r="H1664" s="810">
        <f>G1664</f>
        <v>1.38</v>
      </c>
    </row>
    <row r="1665" spans="1:9" ht="23.25" thickBot="1" x14ac:dyDescent="0.3">
      <c r="A1665" s="582" t="s">
        <v>1239</v>
      </c>
      <c r="B1665" s="343" t="s">
        <v>343</v>
      </c>
      <c r="C1665" s="91" t="s">
        <v>1323</v>
      </c>
      <c r="D1665" s="43" t="s">
        <v>232</v>
      </c>
      <c r="E1665" s="75">
        <v>1</v>
      </c>
      <c r="F1665" s="30">
        <f>SUM(G1666:G1668)/E1665</f>
        <v>0.94</v>
      </c>
      <c r="G1665" s="45">
        <f>E1665*F1665</f>
        <v>0.94</v>
      </c>
      <c r="H1665" s="220">
        <f>I1665-H1667</f>
        <v>0.62</v>
      </c>
      <c r="I1665" s="482">
        <v>0.94</v>
      </c>
    </row>
    <row r="1666" spans="1:9" x14ac:dyDescent="0.25">
      <c r="A1666" s="583"/>
      <c r="B1666" s="435">
        <v>88264</v>
      </c>
      <c r="C1666" s="550" t="s">
        <v>878</v>
      </c>
      <c r="D1666" s="431" t="s">
        <v>257</v>
      </c>
      <c r="E1666" s="371">
        <f>0.02*E1665</f>
        <v>0.02</v>
      </c>
      <c r="F1666" s="433">
        <v>17.920000000000002</v>
      </c>
      <c r="G1666" s="434">
        <f t="shared" ref="G1666" si="183">E1666*F1666</f>
        <v>0.36</v>
      </c>
      <c r="H1666" s="754" t="s">
        <v>9</v>
      </c>
    </row>
    <row r="1667" spans="1:9" ht="12" thickBot="1" x14ac:dyDescent="0.3">
      <c r="A1667" s="583"/>
      <c r="B1667" s="429">
        <v>88316</v>
      </c>
      <c r="C1667" s="430" t="s">
        <v>690</v>
      </c>
      <c r="D1667" s="138" t="s">
        <v>257</v>
      </c>
      <c r="E1667" s="139">
        <f>0.019*E1665</f>
        <v>1.9E-2</v>
      </c>
      <c r="F1667" s="140">
        <v>13.56</v>
      </c>
      <c r="G1667" s="140">
        <f>F1667*E1667</f>
        <v>0.26</v>
      </c>
      <c r="H1667" s="810">
        <f>G1668</f>
        <v>0.32</v>
      </c>
    </row>
    <row r="1668" spans="1:9" ht="12" thickBot="1" x14ac:dyDescent="0.3">
      <c r="A1668" s="584"/>
      <c r="B1668" s="211">
        <v>11901</v>
      </c>
      <c r="C1668" s="216" t="s">
        <v>1003</v>
      </c>
      <c r="D1668" s="212" t="s">
        <v>232</v>
      </c>
      <c r="E1668" s="213">
        <f>1*E1665</f>
        <v>1</v>
      </c>
      <c r="F1668" s="282">
        <v>0.32</v>
      </c>
      <c r="G1668" s="215">
        <f>E1668*F1668</f>
        <v>0.32</v>
      </c>
      <c r="H1668" s="692"/>
    </row>
    <row r="1669" spans="1:9" ht="16.5" customHeight="1" thickBot="1" x14ac:dyDescent="0.3">
      <c r="A1669" s="832">
        <v>25</v>
      </c>
      <c r="B1669" s="833"/>
      <c r="C1669" s="822" t="s">
        <v>254</v>
      </c>
      <c r="D1669" s="823"/>
      <c r="E1669" s="823"/>
      <c r="F1669" s="823"/>
      <c r="G1669" s="823"/>
      <c r="H1669" s="824"/>
    </row>
    <row r="1670" spans="1:9" ht="23.25" customHeight="1" thickBot="1" x14ac:dyDescent="0.25">
      <c r="A1670" s="582" t="s">
        <v>1240</v>
      </c>
      <c r="B1670" s="581">
        <v>88482</v>
      </c>
      <c r="C1670" s="78" t="s">
        <v>1006</v>
      </c>
      <c r="D1670" s="79" t="s">
        <v>270</v>
      </c>
      <c r="E1670" s="87">
        <v>1</v>
      </c>
      <c r="F1670" s="49">
        <f>SUM(G1671:G1673)/E1670</f>
        <v>2.0099999999999998</v>
      </c>
      <c r="G1670" s="334">
        <f>E1670*F1670</f>
        <v>2.0099999999999998</v>
      </c>
      <c r="H1670" s="105" t="s">
        <v>8</v>
      </c>
      <c r="I1670" s="482">
        <v>2.0099999999999998</v>
      </c>
    </row>
    <row r="1671" spans="1:9" x14ac:dyDescent="0.25">
      <c r="A1671" s="583"/>
      <c r="B1671" s="32">
        <v>88310</v>
      </c>
      <c r="C1671" s="13" t="s">
        <v>1007</v>
      </c>
      <c r="D1671" s="14" t="s">
        <v>257</v>
      </c>
      <c r="E1671" s="21">
        <f>0.036*E1670</f>
        <v>3.5999999999999997E-2</v>
      </c>
      <c r="F1671" s="15">
        <v>17.86</v>
      </c>
      <c r="G1671" s="33">
        <f>F1671*E1671</f>
        <v>0.64</v>
      </c>
      <c r="H1671" s="347">
        <f>I1670-H1673</f>
        <v>0.82</v>
      </c>
    </row>
    <row r="1672" spans="1:9" ht="12" thickBot="1" x14ac:dyDescent="0.3">
      <c r="A1672" s="583"/>
      <c r="B1672" s="429">
        <v>88316</v>
      </c>
      <c r="C1672" s="430" t="s">
        <v>690</v>
      </c>
      <c r="D1672" s="14" t="s">
        <v>257</v>
      </c>
      <c r="E1672" s="21">
        <f>0.013*E1670</f>
        <v>1.2999999999999999E-2</v>
      </c>
      <c r="F1672" s="18">
        <v>13.56</v>
      </c>
      <c r="G1672" s="33">
        <f>F1672*E1672</f>
        <v>0.18</v>
      </c>
      <c r="H1672" s="808" t="s">
        <v>9</v>
      </c>
    </row>
    <row r="1673" spans="1:9" ht="12" thickBot="1" x14ac:dyDescent="0.25">
      <c r="A1673" s="584"/>
      <c r="B1673" s="211">
        <v>6090</v>
      </c>
      <c r="C1673" s="216" t="s">
        <v>1005</v>
      </c>
      <c r="D1673" s="212" t="s">
        <v>280</v>
      </c>
      <c r="E1673" s="213">
        <f>0.16*E1670</f>
        <v>0.16</v>
      </c>
      <c r="F1673" s="214">
        <v>7.45</v>
      </c>
      <c r="G1673" s="215">
        <f>F1673*E1673</f>
        <v>1.19</v>
      </c>
      <c r="H1673" s="809">
        <f>G1673</f>
        <v>1.19</v>
      </c>
    </row>
    <row r="1674" spans="1:9" ht="23.25" customHeight="1" thickBot="1" x14ac:dyDescent="0.25">
      <c r="A1674" s="582" t="s">
        <v>1241</v>
      </c>
      <c r="B1674" s="305">
        <v>88486</v>
      </c>
      <c r="C1674" s="42" t="s">
        <v>1324</v>
      </c>
      <c r="D1674" s="43" t="s">
        <v>270</v>
      </c>
      <c r="E1674" s="75">
        <v>1</v>
      </c>
      <c r="F1674" s="30">
        <f>SUM(G1675:G1677)/E1674</f>
        <v>7.51</v>
      </c>
      <c r="G1674" s="45">
        <f>E1674*F1674</f>
        <v>7.51</v>
      </c>
      <c r="H1674" s="105" t="s">
        <v>8</v>
      </c>
      <c r="I1674" s="482">
        <v>7.51</v>
      </c>
    </row>
    <row r="1675" spans="1:9" x14ac:dyDescent="0.25">
      <c r="A1675" s="583"/>
      <c r="B1675" s="32">
        <v>88310</v>
      </c>
      <c r="C1675" s="13" t="s">
        <v>1007</v>
      </c>
      <c r="D1675" s="14" t="s">
        <v>257</v>
      </c>
      <c r="E1675" s="21">
        <f>0.17*E1674</f>
        <v>0.17</v>
      </c>
      <c r="F1675" s="15">
        <v>17.86</v>
      </c>
      <c r="G1675" s="33">
        <f>F1675*E1675</f>
        <v>3.04</v>
      </c>
      <c r="H1675" s="347">
        <f>I1674-H1677</f>
        <v>3.88</v>
      </c>
    </row>
    <row r="1676" spans="1:9" ht="12" thickBot="1" x14ac:dyDescent="0.3">
      <c r="A1676" s="583"/>
      <c r="B1676" s="429">
        <v>88316</v>
      </c>
      <c r="C1676" s="430" t="s">
        <v>690</v>
      </c>
      <c r="D1676" s="14" t="s">
        <v>257</v>
      </c>
      <c r="E1676" s="21">
        <f>0.062*E1674</f>
        <v>6.2E-2</v>
      </c>
      <c r="F1676" s="18">
        <v>13.56</v>
      </c>
      <c r="G1676" s="33">
        <f>F1676*E1676</f>
        <v>0.84</v>
      </c>
      <c r="H1676" s="808" t="s">
        <v>9</v>
      </c>
    </row>
    <row r="1677" spans="1:9" ht="12" thickBot="1" x14ac:dyDescent="0.25">
      <c r="A1677" s="584"/>
      <c r="B1677" s="211">
        <v>7345</v>
      </c>
      <c r="C1677" s="216" t="s">
        <v>6</v>
      </c>
      <c r="D1677" s="212" t="s">
        <v>280</v>
      </c>
      <c r="E1677" s="213">
        <f>0.33*E1674</f>
        <v>0.33</v>
      </c>
      <c r="F1677" s="214">
        <v>11</v>
      </c>
      <c r="G1677" s="215">
        <f>F1677*E1677</f>
        <v>3.63</v>
      </c>
      <c r="H1677" s="809">
        <f>G1677</f>
        <v>3.63</v>
      </c>
    </row>
    <row r="1678" spans="1:9" ht="22.5" customHeight="1" thickBot="1" x14ac:dyDescent="0.25">
      <c r="A1678" s="582" t="s">
        <v>1242</v>
      </c>
      <c r="B1678" s="305">
        <v>88485</v>
      </c>
      <c r="C1678" s="42" t="s">
        <v>1325</v>
      </c>
      <c r="D1678" s="43" t="s">
        <v>270</v>
      </c>
      <c r="E1678" s="75">
        <v>1</v>
      </c>
      <c r="F1678" s="30">
        <f>SUM(G1679:G1681)/E1678</f>
        <v>1.9</v>
      </c>
      <c r="G1678" s="45">
        <f>E1678*F1678</f>
        <v>1.9</v>
      </c>
      <c r="H1678" s="105" t="s">
        <v>8</v>
      </c>
      <c r="I1678" s="482">
        <v>1.9</v>
      </c>
    </row>
    <row r="1679" spans="1:9" x14ac:dyDescent="0.25">
      <c r="A1679" s="583"/>
      <c r="B1679" s="32">
        <v>88310</v>
      </c>
      <c r="C1679" s="13" t="s">
        <v>1007</v>
      </c>
      <c r="D1679" s="14" t="s">
        <v>257</v>
      </c>
      <c r="E1679" s="21">
        <f>0.0385*E1678</f>
        <v>3.85E-2</v>
      </c>
      <c r="F1679" s="15">
        <v>17.86</v>
      </c>
      <c r="G1679" s="33">
        <f>F1679*E1679</f>
        <v>0.69</v>
      </c>
      <c r="H1679" s="347">
        <f>I1678-H1681</f>
        <v>0.88</v>
      </c>
    </row>
    <row r="1680" spans="1:9" ht="12" thickBot="1" x14ac:dyDescent="0.3">
      <c r="A1680" s="583"/>
      <c r="B1680" s="429">
        <v>88316</v>
      </c>
      <c r="C1680" s="430" t="s">
        <v>690</v>
      </c>
      <c r="D1680" s="14" t="s">
        <v>257</v>
      </c>
      <c r="E1680" s="21">
        <f>0.014*E1678</f>
        <v>1.4E-2</v>
      </c>
      <c r="F1680" s="18">
        <v>13.56</v>
      </c>
      <c r="G1680" s="33">
        <f>F1680*E1680</f>
        <v>0.19</v>
      </c>
      <c r="H1680" s="808" t="s">
        <v>9</v>
      </c>
    </row>
    <row r="1681" spans="1:11" ht="12" thickBot="1" x14ac:dyDescent="0.25">
      <c r="A1681" s="583"/>
      <c r="B1681" s="211">
        <v>6085</v>
      </c>
      <c r="C1681" s="216" t="s">
        <v>1326</v>
      </c>
      <c r="D1681" s="212" t="s">
        <v>280</v>
      </c>
      <c r="E1681" s="213">
        <f>0.16*E1678</f>
        <v>0.16</v>
      </c>
      <c r="F1681" s="214">
        <v>6.39</v>
      </c>
      <c r="G1681" s="215">
        <f>F1681*E1681</f>
        <v>1.02</v>
      </c>
      <c r="H1681" s="809">
        <f>G1681</f>
        <v>1.02</v>
      </c>
    </row>
    <row r="1682" spans="1:11" ht="12" thickBot="1" x14ac:dyDescent="0.25">
      <c r="A1682" s="584"/>
      <c r="B1682" s="178"/>
      <c r="C1682" s="179"/>
      <c r="D1682" s="180"/>
      <c r="E1682" s="181"/>
      <c r="F1682" s="182"/>
      <c r="G1682" s="183"/>
      <c r="H1682" s="346"/>
    </row>
    <row r="1683" spans="1:11" ht="24" customHeight="1" thickBot="1" x14ac:dyDescent="0.25">
      <c r="A1683" s="582" t="s">
        <v>1243</v>
      </c>
      <c r="B1683" s="305">
        <v>88489</v>
      </c>
      <c r="C1683" s="42" t="s">
        <v>1327</v>
      </c>
      <c r="D1683" s="43" t="s">
        <v>270</v>
      </c>
      <c r="E1683" s="75">
        <v>1</v>
      </c>
      <c r="F1683" s="30">
        <f>SUM(G1684:G1686)/E1683</f>
        <v>8.7799999999999994</v>
      </c>
      <c r="G1683" s="45">
        <f>E1683*F1683</f>
        <v>8.7799999999999994</v>
      </c>
      <c r="H1683" s="105" t="s">
        <v>8</v>
      </c>
      <c r="I1683" s="482">
        <v>8.7799999999999994</v>
      </c>
    </row>
    <row r="1684" spans="1:11" x14ac:dyDescent="0.25">
      <c r="A1684" s="583"/>
      <c r="B1684" s="32">
        <v>88310</v>
      </c>
      <c r="C1684" s="13" t="s">
        <v>1007</v>
      </c>
      <c r="D1684" s="14" t="s">
        <v>257</v>
      </c>
      <c r="E1684" s="21">
        <f>0.187*E1683</f>
        <v>0.187</v>
      </c>
      <c r="F1684" s="15">
        <v>17.86</v>
      </c>
      <c r="G1684" s="33">
        <f>F1684*E1684</f>
        <v>3.34</v>
      </c>
      <c r="H1684" s="347">
        <f>I1683-H1686</f>
        <v>4.28</v>
      </c>
    </row>
    <row r="1685" spans="1:11" ht="12" thickBot="1" x14ac:dyDescent="0.3">
      <c r="A1685" s="583"/>
      <c r="B1685" s="429">
        <v>88316</v>
      </c>
      <c r="C1685" s="430" t="s">
        <v>690</v>
      </c>
      <c r="D1685" s="14" t="s">
        <v>257</v>
      </c>
      <c r="E1685" s="21">
        <f>0.069*E1683</f>
        <v>6.9000000000000006E-2</v>
      </c>
      <c r="F1685" s="18">
        <v>13.56</v>
      </c>
      <c r="G1685" s="33">
        <f>F1685*E1685</f>
        <v>0.94</v>
      </c>
      <c r="H1685" s="808" t="s">
        <v>9</v>
      </c>
    </row>
    <row r="1686" spans="1:11" ht="12" thickBot="1" x14ac:dyDescent="0.25">
      <c r="A1686" s="584"/>
      <c r="B1686" s="204">
        <v>7356</v>
      </c>
      <c r="C1686" s="205" t="s">
        <v>1328</v>
      </c>
      <c r="D1686" s="206" t="s">
        <v>268</v>
      </c>
      <c r="E1686" s="348">
        <f>0.33*E1683</f>
        <v>0.33</v>
      </c>
      <c r="F1686" s="208">
        <v>13.65</v>
      </c>
      <c r="G1686" s="210">
        <f t="shared" ref="G1686:G1691" si="184">E1686*F1686</f>
        <v>4.5</v>
      </c>
      <c r="H1686" s="809">
        <f>G1686</f>
        <v>4.5</v>
      </c>
    </row>
    <row r="1687" spans="1:11" ht="21.75" customHeight="1" thickBot="1" x14ac:dyDescent="0.25">
      <c r="A1687" s="582" t="s">
        <v>1244</v>
      </c>
      <c r="B1687" s="305">
        <v>88497</v>
      </c>
      <c r="C1687" s="42" t="s">
        <v>1329</v>
      </c>
      <c r="D1687" s="43" t="s">
        <v>270</v>
      </c>
      <c r="E1687" s="75">
        <v>1</v>
      </c>
      <c r="F1687" s="30">
        <f>SUM(G1688:G1691)/E1687</f>
        <v>11.58</v>
      </c>
      <c r="G1687" s="45">
        <f>E1687*F1687</f>
        <v>11.58</v>
      </c>
      <c r="H1687" s="105" t="s">
        <v>8</v>
      </c>
      <c r="I1687" s="482">
        <v>11.58</v>
      </c>
    </row>
    <row r="1688" spans="1:11" x14ac:dyDescent="0.25">
      <c r="A1688" s="583"/>
      <c r="B1688" s="32">
        <v>88310</v>
      </c>
      <c r="C1688" s="13" t="s">
        <v>1007</v>
      </c>
      <c r="D1688" s="14" t="s">
        <v>257</v>
      </c>
      <c r="E1688" s="21">
        <f>0.312*E1687</f>
        <v>0.312</v>
      </c>
      <c r="F1688" s="15">
        <v>17.86</v>
      </c>
      <c r="G1688" s="33">
        <f>F1688*E1688</f>
        <v>5.57</v>
      </c>
      <c r="H1688" s="347">
        <f>I1687-H1690</f>
        <v>7.12</v>
      </c>
    </row>
    <row r="1689" spans="1:11" ht="12" thickBot="1" x14ac:dyDescent="0.3">
      <c r="A1689" s="583"/>
      <c r="B1689" s="429">
        <v>88316</v>
      </c>
      <c r="C1689" s="430" t="s">
        <v>690</v>
      </c>
      <c r="D1689" s="14" t="s">
        <v>257</v>
      </c>
      <c r="E1689" s="21">
        <f>0.114*E1687</f>
        <v>0.114</v>
      </c>
      <c r="F1689" s="18">
        <v>13.56</v>
      </c>
      <c r="G1689" s="33">
        <f>F1689*E1689</f>
        <v>1.55</v>
      </c>
      <c r="H1689" s="808" t="s">
        <v>9</v>
      </c>
    </row>
    <row r="1690" spans="1:11" ht="12" thickBot="1" x14ac:dyDescent="0.25">
      <c r="A1690" s="583"/>
      <c r="B1690" s="204">
        <v>3767</v>
      </c>
      <c r="C1690" s="205" t="s">
        <v>665</v>
      </c>
      <c r="D1690" s="206" t="s">
        <v>268</v>
      </c>
      <c r="E1690" s="207">
        <f>0.06*E1687</f>
        <v>0.06</v>
      </c>
      <c r="F1690" s="208">
        <v>0.79</v>
      </c>
      <c r="G1690" s="210">
        <f t="shared" si="184"/>
        <v>0.05</v>
      </c>
      <c r="H1690" s="809">
        <f>G1690+G1691</f>
        <v>4.46</v>
      </c>
    </row>
    <row r="1691" spans="1:11" ht="12" thickBot="1" x14ac:dyDescent="0.25">
      <c r="A1691" s="584"/>
      <c r="B1691" s="211">
        <v>4051</v>
      </c>
      <c r="C1691" s="216" t="s">
        <v>1330</v>
      </c>
      <c r="D1691" s="212" t="s">
        <v>280</v>
      </c>
      <c r="E1691" s="213">
        <f>0.0489*E1687</f>
        <v>4.8899999999999999E-2</v>
      </c>
      <c r="F1691" s="214">
        <v>90.25</v>
      </c>
      <c r="G1691" s="215">
        <f t="shared" si="184"/>
        <v>4.41</v>
      </c>
      <c r="H1691" s="118"/>
    </row>
    <row r="1692" spans="1:11" ht="22.5" customHeight="1" thickBot="1" x14ac:dyDescent="0.25">
      <c r="A1692" s="582" t="s">
        <v>1245</v>
      </c>
      <c r="B1692" s="590">
        <v>88495</v>
      </c>
      <c r="C1692" s="78" t="s">
        <v>1008</v>
      </c>
      <c r="D1692" s="79" t="s">
        <v>270</v>
      </c>
      <c r="E1692" s="87">
        <v>1</v>
      </c>
      <c r="F1692" s="49">
        <f>SUM(G1693:G1696)/E1692</f>
        <v>8.36</v>
      </c>
      <c r="G1692" s="94">
        <f t="shared" ref="G1692:G1710" si="185">E1692*F1692</f>
        <v>8.36</v>
      </c>
      <c r="H1692" s="105" t="s">
        <v>8</v>
      </c>
      <c r="I1692" s="482">
        <v>8.36</v>
      </c>
    </row>
    <row r="1693" spans="1:11" x14ac:dyDescent="0.25">
      <c r="A1693" s="583"/>
      <c r="B1693" s="589">
        <v>88310</v>
      </c>
      <c r="C1693" s="13" t="s">
        <v>1007</v>
      </c>
      <c r="D1693" s="14" t="s">
        <v>257</v>
      </c>
      <c r="E1693" s="21">
        <f>0.2245*E1692</f>
        <v>0.22450000000000001</v>
      </c>
      <c r="F1693" s="15">
        <v>17.86</v>
      </c>
      <c r="G1693" s="33">
        <f>F1693*E1693</f>
        <v>4.01</v>
      </c>
      <c r="H1693" s="347">
        <f>I1692-H1695</f>
        <v>5.18</v>
      </c>
    </row>
    <row r="1694" spans="1:11" ht="12" thickBot="1" x14ac:dyDescent="0.3">
      <c r="A1694" s="583"/>
      <c r="B1694" s="621">
        <v>88316</v>
      </c>
      <c r="C1694" s="430" t="s">
        <v>690</v>
      </c>
      <c r="D1694" s="14" t="s">
        <v>257</v>
      </c>
      <c r="E1694" s="21">
        <f>0.086*E1692</f>
        <v>8.5999999999999993E-2</v>
      </c>
      <c r="F1694" s="18">
        <v>13.56</v>
      </c>
      <c r="G1694" s="33">
        <f>F1694*E1694</f>
        <v>1.17</v>
      </c>
      <c r="H1694" s="808" t="s">
        <v>9</v>
      </c>
    </row>
    <row r="1695" spans="1:11" ht="12" thickBot="1" x14ac:dyDescent="0.25">
      <c r="A1695" s="583"/>
      <c r="B1695" s="291">
        <v>3767</v>
      </c>
      <c r="C1695" s="205" t="s">
        <v>320</v>
      </c>
      <c r="D1695" s="206" t="s">
        <v>268</v>
      </c>
      <c r="E1695" s="207">
        <f>0.5*E1692</f>
        <v>0.5</v>
      </c>
      <c r="F1695" s="208">
        <v>0.43</v>
      </c>
      <c r="G1695" s="210">
        <f t="shared" si="185"/>
        <v>0.22</v>
      </c>
      <c r="H1695" s="809">
        <f>G1695+G1696</f>
        <v>3.18</v>
      </c>
    </row>
    <row r="1696" spans="1:11" ht="12" thickBot="1" x14ac:dyDescent="0.25">
      <c r="A1696" s="584"/>
      <c r="B1696" s="293">
        <v>4051</v>
      </c>
      <c r="C1696" s="216" t="s">
        <v>1331</v>
      </c>
      <c r="D1696" s="212" t="s">
        <v>280</v>
      </c>
      <c r="E1696" s="213">
        <f>0.0328*E1692</f>
        <v>3.2800000000000003E-2</v>
      </c>
      <c r="F1696" s="214">
        <v>90.25</v>
      </c>
      <c r="G1696" s="215">
        <f t="shared" si="185"/>
        <v>2.96</v>
      </c>
      <c r="H1696" s="118" t="s">
        <v>8</v>
      </c>
      <c r="K1696" s="184"/>
    </row>
    <row r="1697" spans="1:11" ht="23.25" thickBot="1" x14ac:dyDescent="0.3">
      <c r="A1697" s="582" t="s">
        <v>1246</v>
      </c>
      <c r="B1697" s="305" t="s">
        <v>100</v>
      </c>
      <c r="C1697" s="42" t="s">
        <v>104</v>
      </c>
      <c r="D1697" s="43" t="s">
        <v>270</v>
      </c>
      <c r="E1697" s="75">
        <v>1</v>
      </c>
      <c r="F1697" s="30">
        <f>SUM(G1698:G1703)/E1697</f>
        <v>20.71</v>
      </c>
      <c r="G1697" s="45">
        <f t="shared" si="185"/>
        <v>20.71</v>
      </c>
      <c r="H1697" s="277">
        <f>I1697-H1699</f>
        <v>11.89</v>
      </c>
      <c r="I1697" s="482">
        <v>20.71</v>
      </c>
      <c r="K1697" s="184"/>
    </row>
    <row r="1698" spans="1:11" x14ac:dyDescent="0.25">
      <c r="A1698" s="583"/>
      <c r="B1698" s="32">
        <v>88310</v>
      </c>
      <c r="C1698" s="13" t="s">
        <v>1007</v>
      </c>
      <c r="D1698" s="14" t="s">
        <v>257</v>
      </c>
      <c r="E1698" s="21">
        <f>0.4*E1697</f>
        <v>0.4</v>
      </c>
      <c r="F1698" s="15">
        <v>17.86</v>
      </c>
      <c r="G1698" s="33">
        <f>F1698*E1698</f>
        <v>7.14</v>
      </c>
      <c r="H1698" s="806" t="s">
        <v>9</v>
      </c>
      <c r="K1698" s="184"/>
    </row>
    <row r="1699" spans="1:11" ht="12" thickBot="1" x14ac:dyDescent="0.3">
      <c r="A1699" s="583"/>
      <c r="B1699" s="429">
        <v>88316</v>
      </c>
      <c r="C1699" s="430" t="s">
        <v>690</v>
      </c>
      <c r="D1699" s="14" t="s">
        <v>257</v>
      </c>
      <c r="E1699" s="21">
        <f>0.35*E1697</f>
        <v>0.35</v>
      </c>
      <c r="F1699" s="18">
        <v>13.56</v>
      </c>
      <c r="G1699" s="33">
        <f>F1699*E1699</f>
        <v>4.75</v>
      </c>
      <c r="H1699" s="807">
        <f>G1700+G1701+G1702+G1703</f>
        <v>8.82</v>
      </c>
      <c r="K1699" s="184"/>
    </row>
    <row r="1700" spans="1:11" x14ac:dyDescent="0.25">
      <c r="A1700" s="583"/>
      <c r="B1700" s="204">
        <v>73.11</v>
      </c>
      <c r="C1700" s="205" t="s">
        <v>1332</v>
      </c>
      <c r="D1700" s="206" t="s">
        <v>312</v>
      </c>
      <c r="E1700" s="207">
        <f>0.16*E1697</f>
        <v>0.16</v>
      </c>
      <c r="F1700" s="208">
        <v>19.89</v>
      </c>
      <c r="G1700" s="210">
        <f t="shared" si="185"/>
        <v>3.18</v>
      </c>
      <c r="H1700" s="717"/>
      <c r="K1700" s="120"/>
    </row>
    <row r="1701" spans="1:11" x14ac:dyDescent="0.25">
      <c r="A1701" s="583"/>
      <c r="B1701" s="204">
        <v>6086</v>
      </c>
      <c r="C1701" s="205" t="s">
        <v>102</v>
      </c>
      <c r="D1701" s="206" t="s">
        <v>312</v>
      </c>
      <c r="E1701" s="207">
        <f>0.056*E1697</f>
        <v>5.6000000000000001E-2</v>
      </c>
      <c r="F1701" s="208">
        <v>89.21</v>
      </c>
      <c r="G1701" s="210">
        <f t="shared" si="185"/>
        <v>5</v>
      </c>
      <c r="H1701" s="716"/>
    </row>
    <row r="1702" spans="1:11" ht="12" thickBot="1" x14ac:dyDescent="0.3">
      <c r="A1702" s="583"/>
      <c r="B1702" s="204">
        <v>5318</v>
      </c>
      <c r="C1702" s="205" t="s">
        <v>103</v>
      </c>
      <c r="D1702" s="206" t="s">
        <v>280</v>
      </c>
      <c r="E1702" s="207">
        <f>0.04*E1697</f>
        <v>0.04</v>
      </c>
      <c r="F1702" s="208">
        <v>7.98</v>
      </c>
      <c r="G1702" s="210">
        <f t="shared" si="185"/>
        <v>0.32</v>
      </c>
      <c r="H1702" s="718"/>
    </row>
    <row r="1703" spans="1:11" ht="12" thickBot="1" x14ac:dyDescent="0.25">
      <c r="A1703" s="584"/>
      <c r="B1703" s="211">
        <v>3767</v>
      </c>
      <c r="C1703" s="216" t="s">
        <v>320</v>
      </c>
      <c r="D1703" s="212" t="s">
        <v>269</v>
      </c>
      <c r="E1703" s="213">
        <f>0.4*E1697</f>
        <v>0.4</v>
      </c>
      <c r="F1703" s="214">
        <v>0.79</v>
      </c>
      <c r="G1703" s="215">
        <f t="shared" si="185"/>
        <v>0.32</v>
      </c>
      <c r="H1703" s="118" t="s">
        <v>8</v>
      </c>
    </row>
    <row r="1704" spans="1:11" ht="34.5" thickBot="1" x14ac:dyDescent="0.3">
      <c r="A1704" s="582" t="s">
        <v>1247</v>
      </c>
      <c r="B1704" s="305">
        <v>6067</v>
      </c>
      <c r="C1704" s="42" t="s">
        <v>1333</v>
      </c>
      <c r="D1704" s="43" t="s">
        <v>270</v>
      </c>
      <c r="E1704" s="44">
        <v>1</v>
      </c>
      <c r="F1704" s="30">
        <f>SUM(G1705:G1710)/E1704</f>
        <v>31.19</v>
      </c>
      <c r="G1704" s="45">
        <f t="shared" si="185"/>
        <v>31.19</v>
      </c>
      <c r="H1704" s="277">
        <f>I1704-H1706</f>
        <v>25.15</v>
      </c>
      <c r="I1704" s="482">
        <v>31.19</v>
      </c>
    </row>
    <row r="1705" spans="1:11" x14ac:dyDescent="0.25">
      <c r="A1705" s="583"/>
      <c r="B1705" s="32">
        <v>88310</v>
      </c>
      <c r="C1705" s="13" t="s">
        <v>1007</v>
      </c>
      <c r="D1705" s="14" t="s">
        <v>257</v>
      </c>
      <c r="E1705" s="22">
        <f>0.8005*E1704</f>
        <v>0.80049999999999999</v>
      </c>
      <c r="F1705" s="15">
        <v>17.86</v>
      </c>
      <c r="G1705" s="33">
        <f>F1705*E1705</f>
        <v>14.3</v>
      </c>
      <c r="H1705" s="806" t="s">
        <v>9</v>
      </c>
    </row>
    <row r="1706" spans="1:11" ht="12" thickBot="1" x14ac:dyDescent="0.3">
      <c r="A1706" s="583"/>
      <c r="B1706" s="429">
        <v>88316</v>
      </c>
      <c r="C1706" s="430" t="s">
        <v>690</v>
      </c>
      <c r="D1706" s="14" t="s">
        <v>257</v>
      </c>
      <c r="E1706" s="22">
        <f>0.8005*E1704</f>
        <v>0.80049999999999999</v>
      </c>
      <c r="F1706" s="18">
        <v>13.56</v>
      </c>
      <c r="G1706" s="33">
        <f>F1706*E1706</f>
        <v>10.85</v>
      </c>
      <c r="H1706" s="807">
        <f>G1707+G1708+G1709+G1710</f>
        <v>6.04</v>
      </c>
    </row>
    <row r="1707" spans="1:11" ht="12" thickBot="1" x14ac:dyDescent="0.3">
      <c r="A1707" s="583"/>
      <c r="B1707" s="204">
        <v>7308</v>
      </c>
      <c r="C1707" s="205" t="s">
        <v>105</v>
      </c>
      <c r="D1707" s="206" t="s">
        <v>312</v>
      </c>
      <c r="E1707" s="241">
        <f>0.0333*E1704</f>
        <v>3.3300000000000003E-2</v>
      </c>
      <c r="F1707" s="208">
        <v>63.01</v>
      </c>
      <c r="G1707" s="210">
        <f t="shared" si="185"/>
        <v>2.1</v>
      </c>
      <c r="H1707" s="119"/>
    </row>
    <row r="1708" spans="1:11" x14ac:dyDescent="0.25">
      <c r="A1708" s="583"/>
      <c r="B1708" s="204">
        <v>7294</v>
      </c>
      <c r="C1708" s="205" t="s">
        <v>101</v>
      </c>
      <c r="D1708" s="206" t="s">
        <v>312</v>
      </c>
      <c r="E1708" s="241">
        <f>0.04*E1704</f>
        <v>0.04</v>
      </c>
      <c r="F1708" s="208">
        <v>67.540000000000006</v>
      </c>
      <c r="G1708" s="210">
        <f t="shared" si="185"/>
        <v>2.7</v>
      </c>
      <c r="H1708" s="716"/>
    </row>
    <row r="1709" spans="1:11" x14ac:dyDescent="0.25">
      <c r="A1709" s="583"/>
      <c r="B1709" s="204">
        <v>5318</v>
      </c>
      <c r="C1709" s="205" t="s">
        <v>103</v>
      </c>
      <c r="D1709" s="206" t="s">
        <v>280</v>
      </c>
      <c r="E1709" s="241">
        <f>0.03*E1704</f>
        <v>0.03</v>
      </c>
      <c r="F1709" s="208">
        <v>7.98</v>
      </c>
      <c r="G1709" s="210">
        <f t="shared" si="185"/>
        <v>0.24</v>
      </c>
      <c r="H1709" s="718"/>
    </row>
    <row r="1710" spans="1:11" ht="12" thickBot="1" x14ac:dyDescent="0.3">
      <c r="A1710" s="583"/>
      <c r="B1710" s="242">
        <v>3768</v>
      </c>
      <c r="C1710" s="243" t="s">
        <v>311</v>
      </c>
      <c r="D1710" s="244" t="s">
        <v>269</v>
      </c>
      <c r="E1710" s="245">
        <f>0.3*E1704</f>
        <v>0.3</v>
      </c>
      <c r="F1710" s="246">
        <v>3.32</v>
      </c>
      <c r="G1710" s="247">
        <f t="shared" si="185"/>
        <v>1</v>
      </c>
      <c r="H1710" s="692"/>
      <c r="I1710" s="154"/>
      <c r="J1710" s="41"/>
    </row>
    <row r="1711" spans="1:11" ht="19.5" customHeight="1" thickBot="1" x14ac:dyDescent="0.3">
      <c r="A1711" s="832">
        <v>26</v>
      </c>
      <c r="B1711" s="833"/>
      <c r="C1711" s="822" t="s">
        <v>1009</v>
      </c>
      <c r="D1711" s="823"/>
      <c r="E1711" s="823"/>
      <c r="F1711" s="823"/>
      <c r="G1711" s="823"/>
      <c r="H1711" s="824"/>
      <c r="I1711" s="154"/>
      <c r="J1711" s="41"/>
    </row>
    <row r="1712" spans="1:11" ht="33.75" x14ac:dyDescent="0.25">
      <c r="A1712" s="583" t="s">
        <v>1248</v>
      </c>
      <c r="B1712" s="599" t="s">
        <v>1011</v>
      </c>
      <c r="C1712" s="619" t="s">
        <v>1010</v>
      </c>
      <c r="D1712" s="632" t="s">
        <v>268</v>
      </c>
      <c r="E1712" s="633">
        <v>1</v>
      </c>
      <c r="F1712" s="634">
        <f>SUM(G1713:G1728)/E1712</f>
        <v>462</v>
      </c>
      <c r="G1712" s="635">
        <f t="shared" ref="G1712:G1722" si="186">F1712*E1712</f>
        <v>462</v>
      </c>
      <c r="H1712" s="688"/>
      <c r="I1712" s="154"/>
      <c r="J1712" s="41"/>
    </row>
    <row r="1713" spans="1:10" x14ac:dyDescent="0.25">
      <c r="A1713" s="583"/>
      <c r="B1713" s="461">
        <v>4750</v>
      </c>
      <c r="C1713" s="453" t="s">
        <v>261</v>
      </c>
      <c r="D1713" s="437" t="s">
        <v>257</v>
      </c>
      <c r="E1713" s="559">
        <f>4.942*E1712</f>
        <v>4.9420000000000002</v>
      </c>
      <c r="F1713" s="439">
        <v>14.79</v>
      </c>
      <c r="G1713" s="514">
        <f t="shared" si="186"/>
        <v>73.09</v>
      </c>
      <c r="H1713" s="719"/>
      <c r="I1713" s="154"/>
      <c r="J1713" s="41"/>
    </row>
    <row r="1714" spans="1:10" ht="12" thickBot="1" x14ac:dyDescent="0.3">
      <c r="A1714" s="583"/>
      <c r="B1714" s="461">
        <v>6111</v>
      </c>
      <c r="C1714" s="453" t="s">
        <v>274</v>
      </c>
      <c r="D1714" s="431" t="s">
        <v>257</v>
      </c>
      <c r="E1714" s="432">
        <f>4.941*E1712</f>
        <v>4.9409999999999998</v>
      </c>
      <c r="F1714" s="464">
        <v>10.49</v>
      </c>
      <c r="G1714" s="434">
        <f>F1714*E1714</f>
        <v>51.83</v>
      </c>
      <c r="H1714" s="720"/>
      <c r="I1714" s="154"/>
      <c r="J1714" s="41"/>
    </row>
    <row r="1715" spans="1:10" ht="22.5" x14ac:dyDescent="0.25">
      <c r="A1715" s="583"/>
      <c r="B1715" s="313">
        <v>1346</v>
      </c>
      <c r="C1715" s="314" t="s">
        <v>1334</v>
      </c>
      <c r="D1715" s="315" t="s">
        <v>270</v>
      </c>
      <c r="E1715" s="316">
        <f>3.545*E1712</f>
        <v>3.5449999999999999</v>
      </c>
      <c r="F1715" s="522">
        <v>19.71</v>
      </c>
      <c r="G1715" s="349">
        <f t="shared" si="186"/>
        <v>69.87</v>
      </c>
      <c r="H1715" s="51" t="s">
        <v>8</v>
      </c>
      <c r="I1715" s="154"/>
      <c r="J1715" s="41"/>
    </row>
    <row r="1716" spans="1:10" ht="24" customHeight="1" x14ac:dyDescent="0.25">
      <c r="A1716" s="583"/>
      <c r="B1716" s="313">
        <v>4512</v>
      </c>
      <c r="C1716" s="314" t="s">
        <v>288</v>
      </c>
      <c r="D1716" s="315" t="s">
        <v>232</v>
      </c>
      <c r="E1716" s="316">
        <f>4.44*E1715</f>
        <v>15.739800000000001</v>
      </c>
      <c r="F1716" s="317">
        <v>0.83</v>
      </c>
      <c r="G1716" s="349">
        <f t="shared" si="186"/>
        <v>13.06</v>
      </c>
      <c r="H1716" s="217">
        <f>(G1713+G1714)/E1712</f>
        <v>124.92</v>
      </c>
      <c r="I1716" s="154"/>
      <c r="J1716" s="41"/>
    </row>
    <row r="1717" spans="1:10" ht="22.5" x14ac:dyDescent="0.25">
      <c r="A1717" s="583"/>
      <c r="B1717" s="313">
        <v>4491</v>
      </c>
      <c r="C1717" s="314" t="s">
        <v>287</v>
      </c>
      <c r="D1717" s="315" t="s">
        <v>232</v>
      </c>
      <c r="E1717" s="316">
        <f>2.93*3.548</f>
        <v>10.39564</v>
      </c>
      <c r="F1717" s="317">
        <v>2.61</v>
      </c>
      <c r="G1717" s="349">
        <f t="shared" si="186"/>
        <v>27.13</v>
      </c>
      <c r="H1717" s="752" t="s">
        <v>9</v>
      </c>
      <c r="I1717" s="154"/>
      <c r="J1717" s="41"/>
    </row>
    <row r="1718" spans="1:10" ht="12" thickBot="1" x14ac:dyDescent="0.3">
      <c r="A1718" s="583"/>
      <c r="B1718" s="313">
        <v>5061</v>
      </c>
      <c r="C1718" s="314" t="s">
        <v>277</v>
      </c>
      <c r="D1718" s="315" t="s">
        <v>271</v>
      </c>
      <c r="E1718" s="316">
        <f>0.17*E1715</f>
        <v>0.60265000000000002</v>
      </c>
      <c r="F1718" s="317">
        <v>7.75</v>
      </c>
      <c r="G1718" s="349">
        <f t="shared" si="186"/>
        <v>4.67</v>
      </c>
      <c r="H1718" s="756">
        <f>F1712-H1716</f>
        <v>337.08</v>
      </c>
      <c r="I1718" s="154"/>
      <c r="J1718" s="41"/>
    </row>
    <row r="1719" spans="1:10" x14ac:dyDescent="0.25">
      <c r="A1719" s="583"/>
      <c r="B1719" s="313">
        <v>5066</v>
      </c>
      <c r="C1719" s="314" t="s">
        <v>1335</v>
      </c>
      <c r="D1719" s="315" t="s">
        <v>13</v>
      </c>
      <c r="E1719" s="316">
        <f>0.17*E1715</f>
        <v>0.60265000000000002</v>
      </c>
      <c r="F1719" s="522">
        <v>9.68</v>
      </c>
      <c r="G1719" s="349">
        <f t="shared" si="186"/>
        <v>5.83</v>
      </c>
      <c r="H1719" s="688"/>
      <c r="I1719" s="154"/>
      <c r="J1719" s="41"/>
    </row>
    <row r="1720" spans="1:10" ht="22.5" x14ac:dyDescent="0.25">
      <c r="A1720" s="583"/>
      <c r="B1720" s="313">
        <v>7155</v>
      </c>
      <c r="C1720" s="314" t="s">
        <v>1014</v>
      </c>
      <c r="D1720" s="315" t="s">
        <v>270</v>
      </c>
      <c r="E1720" s="316">
        <f>4.24*E1712</f>
        <v>4.24</v>
      </c>
      <c r="F1720" s="522">
        <v>7.84</v>
      </c>
      <c r="G1720" s="349">
        <f t="shared" si="186"/>
        <v>33.24</v>
      </c>
      <c r="H1720" s="688"/>
      <c r="I1720" s="154"/>
      <c r="J1720" s="41"/>
    </row>
    <row r="1721" spans="1:10" x14ac:dyDescent="0.25">
      <c r="A1721" s="583"/>
      <c r="B1721" s="313">
        <v>337</v>
      </c>
      <c r="C1721" s="314" t="s">
        <v>275</v>
      </c>
      <c r="D1721" s="315" t="s">
        <v>271</v>
      </c>
      <c r="E1721" s="560">
        <f>0.02*E1720*2.2</f>
        <v>0.18656</v>
      </c>
      <c r="F1721" s="317">
        <v>7</v>
      </c>
      <c r="G1721" s="349">
        <f t="shared" si="186"/>
        <v>1.31</v>
      </c>
      <c r="H1721" s="695"/>
      <c r="I1721" s="154"/>
      <c r="J1721" s="41"/>
    </row>
    <row r="1722" spans="1:10" x14ac:dyDescent="0.25">
      <c r="A1722" s="583"/>
      <c r="B1722" s="313">
        <v>1379</v>
      </c>
      <c r="C1722" s="314" t="s">
        <v>522</v>
      </c>
      <c r="D1722" s="315" t="s">
        <v>13</v>
      </c>
      <c r="E1722" s="316">
        <f>0.28*0.6*350</f>
        <v>58.8</v>
      </c>
      <c r="F1722" s="522">
        <v>0.49</v>
      </c>
      <c r="G1722" s="318">
        <f t="shared" si="186"/>
        <v>28.81</v>
      </c>
      <c r="H1722" s="688"/>
      <c r="I1722" s="154"/>
      <c r="J1722" s="41"/>
    </row>
    <row r="1723" spans="1:10" x14ac:dyDescent="0.25">
      <c r="A1723" s="583"/>
      <c r="B1723" s="313">
        <v>370</v>
      </c>
      <c r="C1723" s="314" t="s">
        <v>258</v>
      </c>
      <c r="D1723" s="315" t="s">
        <v>272</v>
      </c>
      <c r="E1723" s="561">
        <f>0.28*0.6*0.78</f>
        <v>0.13103999999999999</v>
      </c>
      <c r="F1723" s="317">
        <v>72</v>
      </c>
      <c r="G1723" s="349">
        <f>E1723*F1723</f>
        <v>9.43</v>
      </c>
      <c r="H1723" s="688"/>
      <c r="I1723" s="154"/>
      <c r="J1723" s="41"/>
    </row>
    <row r="1724" spans="1:10" x14ac:dyDescent="0.25">
      <c r="A1724" s="583"/>
      <c r="B1724" s="313">
        <v>4721</v>
      </c>
      <c r="C1724" s="314" t="s">
        <v>284</v>
      </c>
      <c r="D1724" s="315" t="s">
        <v>272</v>
      </c>
      <c r="E1724" s="561">
        <f>0.28*0.6*0.85</f>
        <v>0.14280000000000001</v>
      </c>
      <c r="F1724" s="317">
        <v>85.99</v>
      </c>
      <c r="G1724" s="349">
        <f>E1724*F1724</f>
        <v>12.28</v>
      </c>
      <c r="H1724" s="688"/>
      <c r="I1724" s="154"/>
      <c r="J1724" s="41"/>
    </row>
    <row r="1725" spans="1:10" x14ac:dyDescent="0.25">
      <c r="A1725" s="583"/>
      <c r="B1725" s="313">
        <v>2692</v>
      </c>
      <c r="C1725" s="314" t="s">
        <v>286</v>
      </c>
      <c r="D1725" s="315" t="s">
        <v>280</v>
      </c>
      <c r="E1725" s="316">
        <f>0.12*E1715</f>
        <v>0.4254</v>
      </c>
      <c r="F1725" s="317">
        <v>9.16</v>
      </c>
      <c r="G1725" s="349">
        <f t="shared" ref="G1725:G1739" si="187">F1725*E1725</f>
        <v>3.9</v>
      </c>
      <c r="H1725" s="688"/>
      <c r="I1725" s="154"/>
      <c r="J1725" s="41"/>
    </row>
    <row r="1726" spans="1:10" ht="20.25" customHeight="1" x14ac:dyDescent="0.25">
      <c r="A1726" s="583"/>
      <c r="B1726" s="313">
        <v>37659</v>
      </c>
      <c r="C1726" s="314" t="s">
        <v>444</v>
      </c>
      <c r="D1726" s="315" t="s">
        <v>271</v>
      </c>
      <c r="E1726" s="316">
        <f>9*E1727</f>
        <v>13.86</v>
      </c>
      <c r="F1726" s="317">
        <v>1.03</v>
      </c>
      <c r="G1726" s="349">
        <f t="shared" si="187"/>
        <v>14.28</v>
      </c>
      <c r="H1726" s="688"/>
      <c r="I1726" s="154"/>
      <c r="J1726" s="41"/>
    </row>
    <row r="1727" spans="1:10" x14ac:dyDescent="0.25">
      <c r="A1727" s="583"/>
      <c r="B1727" s="313">
        <v>21108</v>
      </c>
      <c r="C1727" s="314" t="s">
        <v>442</v>
      </c>
      <c r="D1727" s="315" t="s">
        <v>270</v>
      </c>
      <c r="E1727" s="316">
        <f>(2.1)*0.6+0.28</f>
        <v>1.54</v>
      </c>
      <c r="F1727" s="317">
        <v>72.31</v>
      </c>
      <c r="G1727" s="349">
        <f t="shared" si="187"/>
        <v>111.36</v>
      </c>
      <c r="H1727" s="688"/>
      <c r="I1727" s="154"/>
      <c r="J1727" s="41"/>
    </row>
    <row r="1728" spans="1:10" ht="12" thickBot="1" x14ac:dyDescent="0.3">
      <c r="A1728" s="584"/>
      <c r="B1728" s="489">
        <v>34357</v>
      </c>
      <c r="C1728" s="490" t="s">
        <v>445</v>
      </c>
      <c r="D1728" s="491" t="s">
        <v>271</v>
      </c>
      <c r="E1728" s="562">
        <f>0.5*E1727</f>
        <v>0.77</v>
      </c>
      <c r="F1728" s="355">
        <v>2.48</v>
      </c>
      <c r="G1728" s="495">
        <f t="shared" si="187"/>
        <v>1.91</v>
      </c>
      <c r="H1728" s="688"/>
      <c r="I1728" s="154"/>
      <c r="J1728" s="41"/>
    </row>
    <row r="1729" spans="1:10" ht="33.75" x14ac:dyDescent="0.25">
      <c r="A1729" s="582" t="s">
        <v>1249</v>
      </c>
      <c r="B1729" s="306" t="s">
        <v>1016</v>
      </c>
      <c r="C1729" s="450" t="s">
        <v>1015</v>
      </c>
      <c r="D1729" s="554" t="s">
        <v>268</v>
      </c>
      <c r="E1729" s="555">
        <v>1</v>
      </c>
      <c r="F1729" s="556">
        <f>SUM(G1730:G1745)/E1729</f>
        <v>643.04999999999995</v>
      </c>
      <c r="G1729" s="557">
        <f t="shared" si="187"/>
        <v>643.04999999999995</v>
      </c>
      <c r="H1729" s="688"/>
      <c r="I1729" s="154"/>
      <c r="J1729" s="41"/>
    </row>
    <row r="1730" spans="1:10" x14ac:dyDescent="0.25">
      <c r="A1730" s="583"/>
      <c r="B1730" s="461">
        <v>4750</v>
      </c>
      <c r="C1730" s="453" t="s">
        <v>261</v>
      </c>
      <c r="D1730" s="425" t="s">
        <v>257</v>
      </c>
      <c r="E1730" s="558">
        <f>4.8*E1729</f>
        <v>4.8</v>
      </c>
      <c r="F1730" s="427">
        <v>14.79</v>
      </c>
      <c r="G1730" s="428">
        <f t="shared" si="187"/>
        <v>70.989999999999995</v>
      </c>
      <c r="H1730" s="719"/>
      <c r="I1730" s="154"/>
      <c r="J1730" s="41"/>
    </row>
    <row r="1731" spans="1:10" ht="12" thickBot="1" x14ac:dyDescent="0.3">
      <c r="A1731" s="583"/>
      <c r="B1731" s="461">
        <v>6111</v>
      </c>
      <c r="C1731" s="453" t="s">
        <v>274</v>
      </c>
      <c r="D1731" s="425" t="s">
        <v>257</v>
      </c>
      <c r="E1731" s="558">
        <f>4.8*E1729</f>
        <v>4.8</v>
      </c>
      <c r="F1731" s="427">
        <v>10.49</v>
      </c>
      <c r="G1731" s="428">
        <f t="shared" si="187"/>
        <v>50.35</v>
      </c>
      <c r="H1731" s="720"/>
      <c r="I1731" s="154"/>
      <c r="J1731" s="41"/>
    </row>
    <row r="1732" spans="1:10" ht="22.5" x14ac:dyDescent="0.25">
      <c r="A1732" s="583"/>
      <c r="B1732" s="313">
        <v>1346</v>
      </c>
      <c r="C1732" s="314" t="s">
        <v>1336</v>
      </c>
      <c r="D1732" s="315" t="s">
        <v>270</v>
      </c>
      <c r="E1732" s="316">
        <f>4*E1729</f>
        <v>4</v>
      </c>
      <c r="F1732" s="522">
        <v>19.71</v>
      </c>
      <c r="G1732" s="349">
        <f t="shared" si="187"/>
        <v>78.84</v>
      </c>
      <c r="H1732" s="51" t="s">
        <v>8</v>
      </c>
      <c r="I1732" s="154"/>
      <c r="J1732" s="41"/>
    </row>
    <row r="1733" spans="1:10" ht="22.5" x14ac:dyDescent="0.25">
      <c r="A1733" s="583"/>
      <c r="B1733" s="313">
        <v>4512</v>
      </c>
      <c r="C1733" s="314" t="s">
        <v>288</v>
      </c>
      <c r="D1733" s="315" t="s">
        <v>232</v>
      </c>
      <c r="E1733" s="316">
        <f>4.44*E1732</f>
        <v>17.760000000000002</v>
      </c>
      <c r="F1733" s="317">
        <v>0.83</v>
      </c>
      <c r="G1733" s="349">
        <f t="shared" si="187"/>
        <v>14.74</v>
      </c>
      <c r="H1733" s="217">
        <f>(G1730+G1731)/E1729</f>
        <v>121.34</v>
      </c>
      <c r="I1733" s="154"/>
      <c r="J1733" s="41"/>
    </row>
    <row r="1734" spans="1:10" ht="22.5" x14ac:dyDescent="0.25">
      <c r="A1734" s="583"/>
      <c r="B1734" s="313">
        <v>4491</v>
      </c>
      <c r="C1734" s="314" t="s">
        <v>287</v>
      </c>
      <c r="D1734" s="315" t="s">
        <v>232</v>
      </c>
      <c r="E1734" s="316">
        <f>10.395/2.1*2</f>
        <v>9.9</v>
      </c>
      <c r="F1734" s="317">
        <v>2.61</v>
      </c>
      <c r="G1734" s="349">
        <f t="shared" si="187"/>
        <v>25.84</v>
      </c>
      <c r="H1734" s="752" t="s">
        <v>9</v>
      </c>
      <c r="I1734" s="154"/>
      <c r="J1734" s="41"/>
    </row>
    <row r="1735" spans="1:10" ht="12" thickBot="1" x14ac:dyDescent="0.3">
      <c r="A1735" s="583"/>
      <c r="B1735" s="313">
        <v>5061</v>
      </c>
      <c r="C1735" s="314" t="s">
        <v>277</v>
      </c>
      <c r="D1735" s="315" t="s">
        <v>271</v>
      </c>
      <c r="E1735" s="316">
        <f>0.17*E1732</f>
        <v>0.68</v>
      </c>
      <c r="F1735" s="317">
        <v>7.75</v>
      </c>
      <c r="G1735" s="349">
        <f t="shared" si="187"/>
        <v>5.27</v>
      </c>
      <c r="H1735" s="756">
        <f>F1729-H1733</f>
        <v>521.71</v>
      </c>
      <c r="I1735" s="154"/>
      <c r="J1735" s="41"/>
    </row>
    <row r="1736" spans="1:10" x14ac:dyDescent="0.25">
      <c r="A1736" s="583"/>
      <c r="B1736" s="313">
        <v>5066</v>
      </c>
      <c r="C1736" s="314" t="s">
        <v>1337</v>
      </c>
      <c r="D1736" s="315" t="s">
        <v>13</v>
      </c>
      <c r="E1736" s="316">
        <f>0.17*E1732</f>
        <v>0.68</v>
      </c>
      <c r="F1736" s="522">
        <v>9.68</v>
      </c>
      <c r="G1736" s="349">
        <f t="shared" si="187"/>
        <v>6.58</v>
      </c>
      <c r="H1736" s="688"/>
      <c r="I1736" s="154"/>
      <c r="J1736" s="41"/>
    </row>
    <row r="1737" spans="1:10" ht="22.5" x14ac:dyDescent="0.25">
      <c r="A1737" s="583"/>
      <c r="B1737" s="313">
        <v>7155</v>
      </c>
      <c r="C1737" s="314" t="s">
        <v>521</v>
      </c>
      <c r="D1737" s="315" t="s">
        <v>270</v>
      </c>
      <c r="E1737" s="316">
        <f>(3.52+3.36)*0.7</f>
        <v>4.8159999999999998</v>
      </c>
      <c r="F1737" s="522">
        <v>7.84</v>
      </c>
      <c r="G1737" s="349">
        <f t="shared" si="187"/>
        <v>37.76</v>
      </c>
      <c r="H1737" s="688"/>
      <c r="I1737" s="154"/>
      <c r="J1737" s="41"/>
    </row>
    <row r="1738" spans="1:10" x14ac:dyDescent="0.25">
      <c r="A1738" s="583"/>
      <c r="B1738" s="313">
        <v>337</v>
      </c>
      <c r="C1738" s="314" t="s">
        <v>275</v>
      </c>
      <c r="D1738" s="315" t="s">
        <v>271</v>
      </c>
      <c r="E1738" s="560">
        <f>0.02*E1737*2.2</f>
        <v>0.21190400000000001</v>
      </c>
      <c r="F1738" s="317">
        <v>7</v>
      </c>
      <c r="G1738" s="349">
        <f t="shared" si="187"/>
        <v>1.48</v>
      </c>
      <c r="H1738" s="695"/>
      <c r="I1738" s="154"/>
      <c r="J1738" s="41"/>
    </row>
    <row r="1739" spans="1:10" x14ac:dyDescent="0.25">
      <c r="A1739" s="583"/>
      <c r="B1739" s="313">
        <v>1379</v>
      </c>
      <c r="C1739" s="314" t="s">
        <v>522</v>
      </c>
      <c r="D1739" s="315" t="s">
        <v>13</v>
      </c>
      <c r="E1739" s="316">
        <f>0.28*0.7*350</f>
        <v>68.599999999999994</v>
      </c>
      <c r="F1739" s="522">
        <v>0.49</v>
      </c>
      <c r="G1739" s="318">
        <f t="shared" si="187"/>
        <v>33.61</v>
      </c>
      <c r="H1739" s="688"/>
      <c r="I1739" s="154"/>
      <c r="J1739" s="41"/>
    </row>
    <row r="1740" spans="1:10" x14ac:dyDescent="0.25">
      <c r="A1740" s="583"/>
      <c r="B1740" s="313">
        <v>370</v>
      </c>
      <c r="C1740" s="314" t="s">
        <v>258</v>
      </c>
      <c r="D1740" s="315" t="s">
        <v>272</v>
      </c>
      <c r="E1740" s="561">
        <f>0.28*0.7*0.78</f>
        <v>0.15287999999999999</v>
      </c>
      <c r="F1740" s="317">
        <v>72</v>
      </c>
      <c r="G1740" s="349">
        <f>E1740*F1740</f>
        <v>11.01</v>
      </c>
      <c r="H1740" s="688"/>
      <c r="I1740" s="154"/>
      <c r="J1740" s="41"/>
    </row>
    <row r="1741" spans="1:10" x14ac:dyDescent="0.25">
      <c r="A1741" s="583"/>
      <c r="B1741" s="313">
        <v>4721</v>
      </c>
      <c r="C1741" s="314" t="s">
        <v>284</v>
      </c>
      <c r="D1741" s="315" t="s">
        <v>272</v>
      </c>
      <c r="E1741" s="561">
        <f>0.28*0.7*0.85</f>
        <v>0.1666</v>
      </c>
      <c r="F1741" s="317">
        <v>85.99</v>
      </c>
      <c r="G1741" s="349">
        <f>E1741*F1741</f>
        <v>14.33</v>
      </c>
      <c r="H1741" s="688"/>
      <c r="I1741" s="154"/>
      <c r="J1741" s="41"/>
    </row>
    <row r="1742" spans="1:10" x14ac:dyDescent="0.25">
      <c r="A1742" s="583"/>
      <c r="B1742" s="313">
        <v>2692</v>
      </c>
      <c r="C1742" s="314" t="s">
        <v>286</v>
      </c>
      <c r="D1742" s="315" t="s">
        <v>280</v>
      </c>
      <c r="E1742" s="316">
        <f>0.12*E1732</f>
        <v>0.48</v>
      </c>
      <c r="F1742" s="317">
        <v>9.16</v>
      </c>
      <c r="G1742" s="349">
        <f>F1742*E1742</f>
        <v>4.4000000000000004</v>
      </c>
      <c r="H1742" s="688"/>
      <c r="I1742" s="154"/>
      <c r="J1742" s="41"/>
    </row>
    <row r="1743" spans="1:10" x14ac:dyDescent="0.25">
      <c r="A1743" s="583"/>
      <c r="B1743" s="313">
        <v>21108</v>
      </c>
      <c r="C1743" s="314" t="s">
        <v>442</v>
      </c>
      <c r="D1743" s="315" t="s">
        <v>270</v>
      </c>
      <c r="E1743" s="316">
        <f>3.4756</f>
        <v>3.4756</v>
      </c>
      <c r="F1743" s="317">
        <v>72.31</v>
      </c>
      <c r="G1743" s="349">
        <f>F1743*E1743</f>
        <v>251.32</v>
      </c>
      <c r="H1743" s="688"/>
      <c r="I1743" s="154"/>
      <c r="J1743" s="41"/>
    </row>
    <row r="1744" spans="1:10" ht="22.5" x14ac:dyDescent="0.25">
      <c r="A1744" s="583"/>
      <c r="B1744" s="313">
        <v>37659</v>
      </c>
      <c r="C1744" s="314" t="s">
        <v>444</v>
      </c>
      <c r="D1744" s="315" t="s">
        <v>271</v>
      </c>
      <c r="E1744" s="316">
        <f>9*E1743</f>
        <v>31.2804</v>
      </c>
      <c r="F1744" s="317">
        <v>1.03</v>
      </c>
      <c r="G1744" s="349">
        <f>F1744*E1744</f>
        <v>32.22</v>
      </c>
      <c r="H1744" s="688"/>
      <c r="I1744" s="154"/>
      <c r="J1744" s="41"/>
    </row>
    <row r="1745" spans="1:10" ht="12" thickBot="1" x14ac:dyDescent="0.3">
      <c r="A1745" s="584"/>
      <c r="B1745" s="489">
        <v>34357</v>
      </c>
      <c r="C1745" s="490" t="s">
        <v>445</v>
      </c>
      <c r="D1745" s="491" t="s">
        <v>271</v>
      </c>
      <c r="E1745" s="562">
        <f>0.5*E1743</f>
        <v>1.7378</v>
      </c>
      <c r="F1745" s="355">
        <v>2.48</v>
      </c>
      <c r="G1745" s="495">
        <f>F1745*E1745</f>
        <v>4.3099999999999996</v>
      </c>
      <c r="H1745" s="688"/>
      <c r="I1745" s="154"/>
      <c r="J1745" s="41"/>
    </row>
    <row r="1746" spans="1:10" ht="33.75" x14ac:dyDescent="0.25">
      <c r="A1746" s="582" t="s">
        <v>1250</v>
      </c>
      <c r="B1746" s="306" t="s">
        <v>1018</v>
      </c>
      <c r="C1746" s="450" t="s">
        <v>1017</v>
      </c>
      <c r="D1746" s="554" t="s">
        <v>268</v>
      </c>
      <c r="E1746" s="555">
        <v>1</v>
      </c>
      <c r="F1746" s="556">
        <f>SUM(G1747:G1762)/E1746</f>
        <v>606.66</v>
      </c>
      <c r="G1746" s="557">
        <f t="shared" ref="G1746:G1756" si="188">F1746*E1746</f>
        <v>606.66</v>
      </c>
      <c r="H1746" s="688"/>
      <c r="I1746" s="154"/>
      <c r="J1746" s="41"/>
    </row>
    <row r="1747" spans="1:10" x14ac:dyDescent="0.25">
      <c r="A1747" s="583"/>
      <c r="B1747" s="461">
        <v>4750</v>
      </c>
      <c r="C1747" s="453" t="s">
        <v>261</v>
      </c>
      <c r="D1747" s="425" t="s">
        <v>257</v>
      </c>
      <c r="E1747" s="558">
        <f>4.92*E1746</f>
        <v>4.92</v>
      </c>
      <c r="F1747" s="427">
        <v>14.79</v>
      </c>
      <c r="G1747" s="428">
        <f t="shared" si="188"/>
        <v>72.77</v>
      </c>
      <c r="H1747" s="719"/>
      <c r="I1747" s="154"/>
      <c r="J1747" s="41"/>
    </row>
    <row r="1748" spans="1:10" ht="12" thickBot="1" x14ac:dyDescent="0.3">
      <c r="A1748" s="583"/>
      <c r="B1748" s="461">
        <v>6111</v>
      </c>
      <c r="C1748" s="453" t="s">
        <v>274</v>
      </c>
      <c r="D1748" s="425" t="s">
        <v>257</v>
      </c>
      <c r="E1748" s="558">
        <f>4.929*E1746</f>
        <v>4.9290000000000003</v>
      </c>
      <c r="F1748" s="427">
        <v>10.49</v>
      </c>
      <c r="G1748" s="428">
        <f t="shared" si="188"/>
        <v>51.71</v>
      </c>
      <c r="H1748" s="720"/>
      <c r="I1748" s="154"/>
      <c r="J1748" s="41"/>
    </row>
    <row r="1749" spans="1:10" ht="22.5" x14ac:dyDescent="0.25">
      <c r="A1749" s="583"/>
      <c r="B1749" s="313">
        <v>1346</v>
      </c>
      <c r="C1749" s="314" t="s">
        <v>1019</v>
      </c>
      <c r="D1749" s="315" t="s">
        <v>270</v>
      </c>
      <c r="E1749" s="316">
        <f>4*E1746</f>
        <v>4</v>
      </c>
      <c r="F1749" s="522">
        <v>19.71</v>
      </c>
      <c r="G1749" s="349">
        <f t="shared" si="188"/>
        <v>78.84</v>
      </c>
      <c r="H1749" s="51" t="s">
        <v>8</v>
      </c>
      <c r="I1749" s="154"/>
      <c r="J1749" s="41"/>
    </row>
    <row r="1750" spans="1:10" ht="24.75" customHeight="1" x14ac:dyDescent="0.25">
      <c r="A1750" s="583"/>
      <c r="B1750" s="313">
        <v>4512</v>
      </c>
      <c r="C1750" s="314" t="s">
        <v>288</v>
      </c>
      <c r="D1750" s="315" t="s">
        <v>232</v>
      </c>
      <c r="E1750" s="316">
        <f>4.44*E1749</f>
        <v>17.760000000000002</v>
      </c>
      <c r="F1750" s="317">
        <v>0.83</v>
      </c>
      <c r="G1750" s="349">
        <f t="shared" si="188"/>
        <v>14.74</v>
      </c>
      <c r="H1750" s="92">
        <f>(G1747+G1748)/E1746</f>
        <v>124.48</v>
      </c>
      <c r="I1750" s="154"/>
      <c r="J1750" s="41"/>
    </row>
    <row r="1751" spans="1:10" ht="22.5" x14ac:dyDescent="0.25">
      <c r="A1751" s="583"/>
      <c r="B1751" s="313">
        <v>4491</v>
      </c>
      <c r="C1751" s="314" t="s">
        <v>287</v>
      </c>
      <c r="D1751" s="315" t="s">
        <v>232</v>
      </c>
      <c r="E1751" s="316">
        <f>10.395/2.1*1.82</f>
        <v>9.0090000000000003</v>
      </c>
      <c r="F1751" s="317">
        <v>2.61</v>
      </c>
      <c r="G1751" s="349">
        <f t="shared" si="188"/>
        <v>23.51</v>
      </c>
      <c r="H1751" s="752" t="s">
        <v>9</v>
      </c>
      <c r="I1751" s="154"/>
      <c r="J1751" s="41"/>
    </row>
    <row r="1752" spans="1:10" ht="12" thickBot="1" x14ac:dyDescent="0.3">
      <c r="A1752" s="583"/>
      <c r="B1752" s="313">
        <v>5061</v>
      </c>
      <c r="C1752" s="314" t="s">
        <v>277</v>
      </c>
      <c r="D1752" s="315" t="s">
        <v>271</v>
      </c>
      <c r="E1752" s="316">
        <f>0.17*E1749</f>
        <v>0.68</v>
      </c>
      <c r="F1752" s="317">
        <v>7.75</v>
      </c>
      <c r="G1752" s="349">
        <f t="shared" si="188"/>
        <v>5.27</v>
      </c>
      <c r="H1752" s="805">
        <f>F1746-H1750</f>
        <v>482.18</v>
      </c>
      <c r="I1752" s="154"/>
      <c r="J1752" s="41"/>
    </row>
    <row r="1753" spans="1:10" x14ac:dyDescent="0.25">
      <c r="A1753" s="583"/>
      <c r="B1753" s="313">
        <v>5066</v>
      </c>
      <c r="C1753" s="314" t="s">
        <v>1022</v>
      </c>
      <c r="D1753" s="315" t="s">
        <v>13</v>
      </c>
      <c r="E1753" s="316">
        <f>0.17*E1749</f>
        <v>0.68</v>
      </c>
      <c r="F1753" s="522">
        <v>9.68</v>
      </c>
      <c r="G1753" s="349">
        <f t="shared" si="188"/>
        <v>6.58</v>
      </c>
      <c r="H1753" s="688"/>
      <c r="I1753" s="154"/>
      <c r="J1753" s="41"/>
    </row>
    <row r="1754" spans="1:10" ht="21.75" customHeight="1" x14ac:dyDescent="0.25">
      <c r="A1754" s="583"/>
      <c r="B1754" s="313">
        <v>7155</v>
      </c>
      <c r="C1754" s="314" t="s">
        <v>1014</v>
      </c>
      <c r="D1754" s="315" t="s">
        <v>270</v>
      </c>
      <c r="E1754" s="316">
        <f>(3.34+3.18)*0.7</f>
        <v>4.5640000000000001</v>
      </c>
      <c r="F1754" s="522">
        <v>7.84</v>
      </c>
      <c r="G1754" s="349">
        <f t="shared" si="188"/>
        <v>35.78</v>
      </c>
      <c r="H1754" s="688"/>
      <c r="I1754" s="154"/>
      <c r="J1754" s="41"/>
    </row>
    <row r="1755" spans="1:10" x14ac:dyDescent="0.25">
      <c r="A1755" s="583"/>
      <c r="B1755" s="313">
        <v>337</v>
      </c>
      <c r="C1755" s="314" t="s">
        <v>275</v>
      </c>
      <c r="D1755" s="315" t="s">
        <v>271</v>
      </c>
      <c r="E1755" s="560">
        <f>0.02*E1754*2.2</f>
        <v>0.20081599999999999</v>
      </c>
      <c r="F1755" s="317">
        <v>7</v>
      </c>
      <c r="G1755" s="349">
        <f t="shared" si="188"/>
        <v>1.41</v>
      </c>
      <c r="H1755" s="695"/>
      <c r="I1755" s="154"/>
      <c r="J1755" s="41"/>
    </row>
    <row r="1756" spans="1:10" x14ac:dyDescent="0.25">
      <c r="A1756" s="583"/>
      <c r="B1756" s="313">
        <v>1379</v>
      </c>
      <c r="C1756" s="314" t="s">
        <v>522</v>
      </c>
      <c r="D1756" s="315" t="s">
        <v>13</v>
      </c>
      <c r="E1756" s="316">
        <f>0.26*0.7*350</f>
        <v>63.7</v>
      </c>
      <c r="F1756" s="522">
        <v>0.49</v>
      </c>
      <c r="G1756" s="318">
        <f t="shared" si="188"/>
        <v>31.21</v>
      </c>
      <c r="H1756" s="688"/>
      <c r="I1756" s="154"/>
      <c r="J1756" s="41"/>
    </row>
    <row r="1757" spans="1:10" x14ac:dyDescent="0.25">
      <c r="A1757" s="583"/>
      <c r="B1757" s="313">
        <v>370</v>
      </c>
      <c r="C1757" s="314" t="s">
        <v>258</v>
      </c>
      <c r="D1757" s="315" t="s">
        <v>272</v>
      </c>
      <c r="E1757" s="561">
        <f>0.26*0.7*0.78</f>
        <v>0.14196</v>
      </c>
      <c r="F1757" s="317">
        <v>72</v>
      </c>
      <c r="G1757" s="349">
        <f>E1757*F1757</f>
        <v>10.220000000000001</v>
      </c>
      <c r="H1757" s="688"/>
      <c r="I1757" s="154"/>
      <c r="J1757" s="41"/>
    </row>
    <row r="1758" spans="1:10" x14ac:dyDescent="0.25">
      <c r="A1758" s="583"/>
      <c r="B1758" s="313">
        <v>4721</v>
      </c>
      <c r="C1758" s="314" t="s">
        <v>284</v>
      </c>
      <c r="D1758" s="315" t="s">
        <v>272</v>
      </c>
      <c r="E1758" s="561">
        <f>0.26*0.7*0.85</f>
        <v>0.1547</v>
      </c>
      <c r="F1758" s="317">
        <v>85.99</v>
      </c>
      <c r="G1758" s="349">
        <f>E1758*F1758</f>
        <v>13.3</v>
      </c>
      <c r="H1758" s="688"/>
      <c r="I1758" s="154"/>
      <c r="J1758" s="41"/>
    </row>
    <row r="1759" spans="1:10" x14ac:dyDescent="0.25">
      <c r="A1759" s="583"/>
      <c r="B1759" s="313">
        <v>2692</v>
      </c>
      <c r="C1759" s="314" t="s">
        <v>286</v>
      </c>
      <c r="D1759" s="315" t="s">
        <v>280</v>
      </c>
      <c r="E1759" s="316">
        <f>0.12*E1749</f>
        <v>0.48</v>
      </c>
      <c r="F1759" s="317">
        <v>9.16</v>
      </c>
      <c r="G1759" s="349">
        <f>F1759*E1759</f>
        <v>4.4000000000000004</v>
      </c>
      <c r="H1759" s="688"/>
      <c r="I1759" s="154"/>
      <c r="J1759" s="41"/>
    </row>
    <row r="1760" spans="1:10" x14ac:dyDescent="0.25">
      <c r="A1760" s="583"/>
      <c r="B1760" s="313">
        <v>21108</v>
      </c>
      <c r="C1760" s="314" t="s">
        <v>442</v>
      </c>
      <c r="D1760" s="315" t="s">
        <v>270</v>
      </c>
      <c r="E1760" s="316">
        <f>(1.82+0.8+0.72*2)*0.7+0.26</f>
        <v>3.1019999999999999</v>
      </c>
      <c r="F1760" s="317">
        <v>72.31</v>
      </c>
      <c r="G1760" s="349">
        <f>F1760*E1760</f>
        <v>224.31</v>
      </c>
      <c r="H1760" s="688"/>
      <c r="I1760" s="154"/>
      <c r="J1760" s="41"/>
    </row>
    <row r="1761" spans="1:10" ht="22.5" x14ac:dyDescent="0.25">
      <c r="A1761" s="583"/>
      <c r="B1761" s="313">
        <v>37659</v>
      </c>
      <c r="C1761" s="314" t="s">
        <v>444</v>
      </c>
      <c r="D1761" s="315" t="s">
        <v>271</v>
      </c>
      <c r="E1761" s="316">
        <f>9*E1760</f>
        <v>27.917999999999999</v>
      </c>
      <c r="F1761" s="317">
        <v>1.03</v>
      </c>
      <c r="G1761" s="349">
        <f>F1761*E1761</f>
        <v>28.76</v>
      </c>
      <c r="H1761" s="688"/>
      <c r="I1761" s="154"/>
      <c r="J1761" s="41"/>
    </row>
    <row r="1762" spans="1:10" ht="12" thickBot="1" x14ac:dyDescent="0.3">
      <c r="A1762" s="584"/>
      <c r="B1762" s="489">
        <v>34357</v>
      </c>
      <c r="C1762" s="490" t="s">
        <v>445</v>
      </c>
      <c r="D1762" s="491" t="s">
        <v>271</v>
      </c>
      <c r="E1762" s="562">
        <f>0.5*E1760</f>
        <v>1.5509999999999999</v>
      </c>
      <c r="F1762" s="355">
        <v>2.48</v>
      </c>
      <c r="G1762" s="495">
        <f>F1762*E1762</f>
        <v>3.85</v>
      </c>
      <c r="H1762" s="688"/>
      <c r="I1762" s="154"/>
      <c r="J1762" s="41"/>
    </row>
    <row r="1763" spans="1:10" ht="33.75" x14ac:dyDescent="0.25">
      <c r="A1763" s="582" t="s">
        <v>1251</v>
      </c>
      <c r="B1763" s="306" t="s">
        <v>1023</v>
      </c>
      <c r="C1763" s="450" t="s">
        <v>1020</v>
      </c>
      <c r="D1763" s="554" t="s">
        <v>268</v>
      </c>
      <c r="E1763" s="555">
        <v>1</v>
      </c>
      <c r="F1763" s="556">
        <f>SUM(G1764:G1779)/E1763</f>
        <v>1021.11</v>
      </c>
      <c r="G1763" s="557">
        <f t="shared" ref="G1763:G1773" si="189">F1763*E1763</f>
        <v>1021.11</v>
      </c>
      <c r="H1763" s="690"/>
      <c r="I1763" s="154"/>
      <c r="J1763" s="41"/>
    </row>
    <row r="1764" spans="1:10" x14ac:dyDescent="0.25">
      <c r="A1764" s="583"/>
      <c r="B1764" s="461">
        <v>4750</v>
      </c>
      <c r="C1764" s="453" t="s">
        <v>261</v>
      </c>
      <c r="D1764" s="425" t="s">
        <v>257</v>
      </c>
      <c r="E1764" s="558">
        <f>7.4815*E1763</f>
        <v>7.4814999999999996</v>
      </c>
      <c r="F1764" s="427">
        <v>14.79</v>
      </c>
      <c r="G1764" s="428">
        <f t="shared" si="189"/>
        <v>110.65</v>
      </c>
      <c r="H1764" s="721"/>
      <c r="I1764" s="154"/>
      <c r="J1764" s="41"/>
    </row>
    <row r="1765" spans="1:10" ht="12" thickBot="1" x14ac:dyDescent="0.3">
      <c r="A1765" s="583"/>
      <c r="B1765" s="461">
        <v>6111</v>
      </c>
      <c r="C1765" s="453" t="s">
        <v>274</v>
      </c>
      <c r="D1765" s="425" t="s">
        <v>257</v>
      </c>
      <c r="E1765" s="558">
        <f>7.4815*E1763</f>
        <v>7.4814999999999996</v>
      </c>
      <c r="F1765" s="427">
        <v>10.49</v>
      </c>
      <c r="G1765" s="428">
        <f t="shared" si="189"/>
        <v>78.48</v>
      </c>
      <c r="H1765" s="652"/>
      <c r="I1765" s="154"/>
      <c r="J1765" s="41"/>
    </row>
    <row r="1766" spans="1:10" ht="22.5" x14ac:dyDescent="0.25">
      <c r="A1766" s="583"/>
      <c r="B1766" s="313">
        <v>1346</v>
      </c>
      <c r="C1766" s="314" t="s">
        <v>1021</v>
      </c>
      <c r="D1766" s="315" t="s">
        <v>270</v>
      </c>
      <c r="E1766" s="316">
        <f>6*E1763</f>
        <v>6</v>
      </c>
      <c r="F1766" s="522">
        <v>19.71</v>
      </c>
      <c r="G1766" s="349">
        <f t="shared" si="189"/>
        <v>118.26</v>
      </c>
      <c r="H1766" s="563" t="s">
        <v>8</v>
      </c>
      <c r="I1766" s="154"/>
      <c r="J1766" s="41"/>
    </row>
    <row r="1767" spans="1:10" ht="22.5" x14ac:dyDescent="0.25">
      <c r="A1767" s="583"/>
      <c r="B1767" s="313">
        <v>4512</v>
      </c>
      <c r="C1767" s="314" t="s">
        <v>288</v>
      </c>
      <c r="D1767" s="315" t="s">
        <v>232</v>
      </c>
      <c r="E1767" s="316">
        <f>4.44*E1766</f>
        <v>26.64</v>
      </c>
      <c r="F1767" s="317">
        <v>0.83</v>
      </c>
      <c r="G1767" s="349">
        <f t="shared" si="189"/>
        <v>22.11</v>
      </c>
      <c r="H1767" s="564">
        <f>(G1764+G1765)/E1763</f>
        <v>189.13</v>
      </c>
      <c r="I1767" s="154"/>
      <c r="J1767" s="41"/>
    </row>
    <row r="1768" spans="1:10" ht="22.5" x14ac:dyDescent="0.25">
      <c r="A1768" s="583"/>
      <c r="B1768" s="313">
        <v>4491</v>
      </c>
      <c r="C1768" s="314" t="s">
        <v>287</v>
      </c>
      <c r="D1768" s="315" t="s">
        <v>232</v>
      </c>
      <c r="E1768" s="316">
        <f>2.52*E1766</f>
        <v>15.12</v>
      </c>
      <c r="F1768" s="317">
        <v>2.61</v>
      </c>
      <c r="G1768" s="349">
        <f t="shared" si="189"/>
        <v>39.46</v>
      </c>
      <c r="H1768" s="804" t="s">
        <v>9</v>
      </c>
      <c r="I1768" s="154"/>
      <c r="J1768" s="41"/>
    </row>
    <row r="1769" spans="1:10" ht="12" thickBot="1" x14ac:dyDescent="0.3">
      <c r="A1769" s="583"/>
      <c r="B1769" s="313">
        <v>5061</v>
      </c>
      <c r="C1769" s="314" t="s">
        <v>277</v>
      </c>
      <c r="D1769" s="315" t="s">
        <v>271</v>
      </c>
      <c r="E1769" s="316">
        <f>0.17*E1766</f>
        <v>1.02</v>
      </c>
      <c r="F1769" s="317">
        <v>7.75</v>
      </c>
      <c r="G1769" s="349">
        <f t="shared" si="189"/>
        <v>7.91</v>
      </c>
      <c r="H1769" s="756">
        <f>F1763-H1767</f>
        <v>831.98</v>
      </c>
      <c r="I1769" s="154"/>
      <c r="J1769" s="41"/>
    </row>
    <row r="1770" spans="1:10" x14ac:dyDescent="0.25">
      <c r="A1770" s="583"/>
      <c r="B1770" s="313">
        <v>5066</v>
      </c>
      <c r="C1770" s="314" t="s">
        <v>1013</v>
      </c>
      <c r="D1770" s="315" t="s">
        <v>13</v>
      </c>
      <c r="E1770" s="316">
        <f>0.17*E1766</f>
        <v>1.02</v>
      </c>
      <c r="F1770" s="522">
        <v>9.68</v>
      </c>
      <c r="G1770" s="349">
        <f t="shared" si="189"/>
        <v>9.8699999999999992</v>
      </c>
      <c r="H1770" s="690"/>
      <c r="I1770" s="154"/>
      <c r="J1770" s="41"/>
    </row>
    <row r="1771" spans="1:10" ht="22.5" x14ac:dyDescent="0.25">
      <c r="A1771" s="583"/>
      <c r="B1771" s="313">
        <v>7155</v>
      </c>
      <c r="C1771" s="314" t="s">
        <v>521</v>
      </c>
      <c r="D1771" s="315" t="s">
        <v>270</v>
      </c>
      <c r="E1771" s="316">
        <f>(4.52+2.9*2)*0.7</f>
        <v>7.2240000000000002</v>
      </c>
      <c r="F1771" s="522">
        <v>7.84</v>
      </c>
      <c r="G1771" s="349">
        <f t="shared" si="189"/>
        <v>56.64</v>
      </c>
      <c r="H1771" s="690"/>
      <c r="I1771" s="154"/>
      <c r="J1771" s="41"/>
    </row>
    <row r="1772" spans="1:10" x14ac:dyDescent="0.25">
      <c r="A1772" s="583"/>
      <c r="B1772" s="313">
        <v>337</v>
      </c>
      <c r="C1772" s="314" t="s">
        <v>275</v>
      </c>
      <c r="D1772" s="315" t="s">
        <v>271</v>
      </c>
      <c r="E1772" s="560">
        <f>0.02*E1771*2.2</f>
        <v>0.31785600000000003</v>
      </c>
      <c r="F1772" s="317">
        <v>7</v>
      </c>
      <c r="G1772" s="349">
        <f t="shared" si="189"/>
        <v>2.2200000000000002</v>
      </c>
      <c r="H1772" s="722"/>
      <c r="I1772" s="154"/>
      <c r="J1772" s="41"/>
    </row>
    <row r="1773" spans="1:10" x14ac:dyDescent="0.25">
      <c r="A1773" s="583"/>
      <c r="B1773" s="313">
        <v>1379</v>
      </c>
      <c r="C1773" s="314" t="s">
        <v>522</v>
      </c>
      <c r="D1773" s="315" t="s">
        <v>13</v>
      </c>
      <c r="E1773" s="316">
        <v>105</v>
      </c>
      <c r="F1773" s="522">
        <v>0.49</v>
      </c>
      <c r="G1773" s="318">
        <f t="shared" si="189"/>
        <v>51.45</v>
      </c>
      <c r="H1773" s="690"/>
      <c r="I1773" s="154"/>
      <c r="J1773" s="41"/>
    </row>
    <row r="1774" spans="1:10" x14ac:dyDescent="0.25">
      <c r="A1774" s="583"/>
      <c r="B1774" s="313">
        <v>370</v>
      </c>
      <c r="C1774" s="314" t="s">
        <v>258</v>
      </c>
      <c r="D1774" s="315" t="s">
        <v>272</v>
      </c>
      <c r="E1774" s="561">
        <f>0.41*0.7*0.78</f>
        <v>0.22386</v>
      </c>
      <c r="F1774" s="317">
        <v>72</v>
      </c>
      <c r="G1774" s="349">
        <f>E1774*F1774</f>
        <v>16.12</v>
      </c>
      <c r="H1774" s="690"/>
      <c r="I1774" s="154"/>
      <c r="J1774" s="41"/>
    </row>
    <row r="1775" spans="1:10" x14ac:dyDescent="0.25">
      <c r="A1775" s="583"/>
      <c r="B1775" s="313">
        <v>4721</v>
      </c>
      <c r="C1775" s="314" t="s">
        <v>284</v>
      </c>
      <c r="D1775" s="315" t="s">
        <v>272</v>
      </c>
      <c r="E1775" s="561">
        <f>0.41*0.7*0.85</f>
        <v>0.24395</v>
      </c>
      <c r="F1775" s="317">
        <v>85.99</v>
      </c>
      <c r="G1775" s="349">
        <f>E1775*F1775</f>
        <v>20.98</v>
      </c>
      <c r="H1775" s="690"/>
      <c r="I1775" s="154"/>
      <c r="J1775" s="41"/>
    </row>
    <row r="1776" spans="1:10" x14ac:dyDescent="0.25">
      <c r="A1776" s="583"/>
      <c r="B1776" s="313">
        <v>2692</v>
      </c>
      <c r="C1776" s="314" t="s">
        <v>286</v>
      </c>
      <c r="D1776" s="315" t="s">
        <v>280</v>
      </c>
      <c r="E1776" s="316">
        <f>0.12*E1766</f>
        <v>0.72</v>
      </c>
      <c r="F1776" s="317">
        <v>9.16</v>
      </c>
      <c r="G1776" s="349">
        <f>F1776*E1776</f>
        <v>6.6</v>
      </c>
      <c r="H1776" s="690"/>
      <c r="I1776" s="154"/>
      <c r="J1776" s="41"/>
    </row>
    <row r="1777" spans="1:10" x14ac:dyDescent="0.25">
      <c r="A1777" s="583"/>
      <c r="B1777" s="313">
        <v>21108</v>
      </c>
      <c r="C1777" s="314" t="s">
        <v>442</v>
      </c>
      <c r="D1777" s="315" t="s">
        <v>270</v>
      </c>
      <c r="E1777" s="316">
        <f>5.8*E1763</f>
        <v>5.8</v>
      </c>
      <c r="F1777" s="317">
        <v>72.31</v>
      </c>
      <c r="G1777" s="349">
        <f>F1777*E1777</f>
        <v>419.4</v>
      </c>
      <c r="H1777" s="690"/>
      <c r="I1777" s="154"/>
      <c r="J1777" s="41"/>
    </row>
    <row r="1778" spans="1:10" ht="22.5" x14ac:dyDescent="0.25">
      <c r="A1778" s="583"/>
      <c r="B1778" s="313">
        <v>37659</v>
      </c>
      <c r="C1778" s="314" t="s">
        <v>444</v>
      </c>
      <c r="D1778" s="315" t="s">
        <v>271</v>
      </c>
      <c r="E1778" s="316">
        <f>9*E1777</f>
        <v>52.2</v>
      </c>
      <c r="F1778" s="317">
        <v>1.03</v>
      </c>
      <c r="G1778" s="349">
        <f>F1778*E1778</f>
        <v>53.77</v>
      </c>
      <c r="H1778" s="690"/>
      <c r="I1778" s="154"/>
      <c r="J1778" s="41"/>
    </row>
    <row r="1779" spans="1:10" ht="12" thickBot="1" x14ac:dyDescent="0.3">
      <c r="A1779" s="584"/>
      <c r="B1779" s="489">
        <v>34357</v>
      </c>
      <c r="C1779" s="490" t="s">
        <v>445</v>
      </c>
      <c r="D1779" s="491" t="s">
        <v>271</v>
      </c>
      <c r="E1779" s="562">
        <f>0.5*E1777</f>
        <v>2.9</v>
      </c>
      <c r="F1779" s="355">
        <v>2.48</v>
      </c>
      <c r="G1779" s="495">
        <f>F1779*E1779</f>
        <v>7.19</v>
      </c>
      <c r="H1779" s="690"/>
      <c r="I1779" s="154"/>
      <c r="J1779" s="41"/>
    </row>
    <row r="1780" spans="1:10" ht="33.75" x14ac:dyDescent="0.25">
      <c r="A1780" s="582" t="s">
        <v>1252</v>
      </c>
      <c r="B1780" s="306" t="s">
        <v>1025</v>
      </c>
      <c r="C1780" s="450" t="s">
        <v>1024</v>
      </c>
      <c r="D1780" s="554" t="s">
        <v>268</v>
      </c>
      <c r="E1780" s="555">
        <v>1</v>
      </c>
      <c r="F1780" s="556">
        <f>SUM(G1781:G1796)/E1780</f>
        <v>1427.94</v>
      </c>
      <c r="G1780" s="557">
        <f t="shared" ref="G1780:G1790" si="190">F1780*E1780</f>
        <v>1427.94</v>
      </c>
      <c r="H1780" s="690"/>
      <c r="I1780" s="154"/>
      <c r="J1780" s="41"/>
    </row>
    <row r="1781" spans="1:10" x14ac:dyDescent="0.25">
      <c r="A1781" s="583"/>
      <c r="B1781" s="461">
        <v>4750</v>
      </c>
      <c r="C1781" s="453" t="s">
        <v>261</v>
      </c>
      <c r="D1781" s="425" t="s">
        <v>257</v>
      </c>
      <c r="E1781" s="558">
        <f>11.8022*E1780</f>
        <v>11.802199999999999</v>
      </c>
      <c r="F1781" s="427">
        <v>14.79</v>
      </c>
      <c r="G1781" s="428">
        <f t="shared" si="190"/>
        <v>174.55</v>
      </c>
      <c r="H1781" s="721"/>
      <c r="I1781" s="154"/>
      <c r="J1781" s="41"/>
    </row>
    <row r="1782" spans="1:10" ht="12" thickBot="1" x14ac:dyDescent="0.3">
      <c r="A1782" s="583"/>
      <c r="B1782" s="461">
        <v>6111</v>
      </c>
      <c r="C1782" s="453" t="s">
        <v>274</v>
      </c>
      <c r="D1782" s="425" t="s">
        <v>257</v>
      </c>
      <c r="E1782" s="558">
        <f>11.8022*E1780</f>
        <v>11.802199999999999</v>
      </c>
      <c r="F1782" s="427">
        <v>10.49</v>
      </c>
      <c r="G1782" s="428">
        <f t="shared" si="190"/>
        <v>123.81</v>
      </c>
      <c r="H1782" s="652"/>
      <c r="I1782" s="154"/>
      <c r="J1782" s="41"/>
    </row>
    <row r="1783" spans="1:10" ht="22.5" x14ac:dyDescent="0.25">
      <c r="A1783" s="583"/>
      <c r="B1783" s="313">
        <v>1346</v>
      </c>
      <c r="C1783" s="314" t="s">
        <v>1338</v>
      </c>
      <c r="D1783" s="315" t="s">
        <v>270</v>
      </c>
      <c r="E1783" s="316">
        <f>9*E1780</f>
        <v>9</v>
      </c>
      <c r="F1783" s="522">
        <v>19.71</v>
      </c>
      <c r="G1783" s="349">
        <f t="shared" si="190"/>
        <v>177.39</v>
      </c>
      <c r="H1783" s="563" t="s">
        <v>8</v>
      </c>
      <c r="I1783" s="154"/>
      <c r="J1783" s="41"/>
    </row>
    <row r="1784" spans="1:10" ht="22.5" x14ac:dyDescent="0.25">
      <c r="A1784" s="583"/>
      <c r="B1784" s="313">
        <v>4512</v>
      </c>
      <c r="C1784" s="314" t="s">
        <v>288</v>
      </c>
      <c r="D1784" s="315" t="s">
        <v>232</v>
      </c>
      <c r="E1784" s="316">
        <f>4.44*E1783</f>
        <v>39.96</v>
      </c>
      <c r="F1784" s="317">
        <v>0.83</v>
      </c>
      <c r="G1784" s="349">
        <f t="shared" si="190"/>
        <v>33.17</v>
      </c>
      <c r="H1784" s="564">
        <f>(G1781+G1782)/E1780</f>
        <v>298.36</v>
      </c>
      <c r="I1784" s="154"/>
      <c r="J1784" s="41"/>
    </row>
    <row r="1785" spans="1:10" ht="22.5" x14ac:dyDescent="0.25">
      <c r="A1785" s="583"/>
      <c r="B1785" s="313">
        <v>4491</v>
      </c>
      <c r="C1785" s="314" t="s">
        <v>287</v>
      </c>
      <c r="D1785" s="315" t="s">
        <v>232</v>
      </c>
      <c r="E1785" s="316">
        <f>2.52*E1783</f>
        <v>22.68</v>
      </c>
      <c r="F1785" s="317">
        <v>2.61</v>
      </c>
      <c r="G1785" s="349">
        <f t="shared" si="190"/>
        <v>59.19</v>
      </c>
      <c r="H1785" s="804" t="s">
        <v>9</v>
      </c>
      <c r="I1785" s="154"/>
      <c r="J1785" s="41"/>
    </row>
    <row r="1786" spans="1:10" ht="12" thickBot="1" x14ac:dyDescent="0.3">
      <c r="A1786" s="583"/>
      <c r="B1786" s="313">
        <v>5061</v>
      </c>
      <c r="C1786" s="314" t="s">
        <v>277</v>
      </c>
      <c r="D1786" s="315" t="s">
        <v>271</v>
      </c>
      <c r="E1786" s="316">
        <f>0.17*E1783</f>
        <v>1.53</v>
      </c>
      <c r="F1786" s="317">
        <v>7.75</v>
      </c>
      <c r="G1786" s="349">
        <f t="shared" si="190"/>
        <v>11.86</v>
      </c>
      <c r="H1786" s="756">
        <f>F1780-H1784</f>
        <v>1129.58</v>
      </c>
      <c r="I1786" s="154"/>
      <c r="J1786" s="41"/>
    </row>
    <row r="1787" spans="1:10" x14ac:dyDescent="0.25">
      <c r="A1787" s="583"/>
      <c r="B1787" s="313">
        <v>5066</v>
      </c>
      <c r="C1787" s="314" t="s">
        <v>1022</v>
      </c>
      <c r="D1787" s="315" t="s">
        <v>13</v>
      </c>
      <c r="E1787" s="316">
        <f>0.17*E1783</f>
        <v>1.53</v>
      </c>
      <c r="F1787" s="522">
        <v>9.68</v>
      </c>
      <c r="G1787" s="349">
        <f t="shared" si="190"/>
        <v>14.81</v>
      </c>
      <c r="H1787" s="690"/>
      <c r="I1787" s="154"/>
      <c r="J1787" s="41"/>
    </row>
    <row r="1788" spans="1:10" ht="22.5" x14ac:dyDescent="0.25">
      <c r="A1788" s="583"/>
      <c r="B1788" s="313">
        <v>7155</v>
      </c>
      <c r="C1788" s="314" t="s">
        <v>521</v>
      </c>
      <c r="D1788" s="315" t="s">
        <v>270</v>
      </c>
      <c r="E1788" s="316">
        <f>(6.37+3.03*3)*0.7</f>
        <v>10.821999999999999</v>
      </c>
      <c r="F1788" s="522">
        <v>7.84</v>
      </c>
      <c r="G1788" s="349">
        <f t="shared" si="190"/>
        <v>84.84</v>
      </c>
      <c r="H1788" s="690"/>
      <c r="I1788" s="154"/>
      <c r="J1788" s="41"/>
    </row>
    <row r="1789" spans="1:10" x14ac:dyDescent="0.25">
      <c r="A1789" s="583"/>
      <c r="B1789" s="313">
        <v>337</v>
      </c>
      <c r="C1789" s="314" t="s">
        <v>275</v>
      </c>
      <c r="D1789" s="315" t="s">
        <v>271</v>
      </c>
      <c r="E1789" s="560">
        <f>0.02*E1788*2.2</f>
        <v>0.47616799999999998</v>
      </c>
      <c r="F1789" s="317">
        <v>7</v>
      </c>
      <c r="G1789" s="349">
        <f t="shared" si="190"/>
        <v>3.33</v>
      </c>
      <c r="H1789" s="722"/>
      <c r="I1789" s="154"/>
      <c r="J1789" s="41"/>
    </row>
    <row r="1790" spans="1:10" x14ac:dyDescent="0.25">
      <c r="A1790" s="583"/>
      <c r="B1790" s="313">
        <v>1379</v>
      </c>
      <c r="C1790" s="314" t="s">
        <v>522</v>
      </c>
      <c r="D1790" s="315" t="s">
        <v>13</v>
      </c>
      <c r="E1790" s="316">
        <f>0.62*0.7*350</f>
        <v>151.9</v>
      </c>
      <c r="F1790" s="522">
        <v>0.49</v>
      </c>
      <c r="G1790" s="318">
        <f t="shared" si="190"/>
        <v>74.430000000000007</v>
      </c>
      <c r="H1790" s="690"/>
      <c r="I1790" s="154"/>
      <c r="J1790" s="41"/>
    </row>
    <row r="1791" spans="1:10" x14ac:dyDescent="0.25">
      <c r="A1791" s="583"/>
      <c r="B1791" s="313">
        <v>370</v>
      </c>
      <c r="C1791" s="314" t="s">
        <v>258</v>
      </c>
      <c r="D1791" s="315" t="s">
        <v>272</v>
      </c>
      <c r="E1791" s="561">
        <f>0.62*0.7*0.78</f>
        <v>0.33851999999999999</v>
      </c>
      <c r="F1791" s="317">
        <v>72</v>
      </c>
      <c r="G1791" s="349">
        <f>E1791*F1791</f>
        <v>24.37</v>
      </c>
      <c r="H1791" s="690"/>
      <c r="I1791" s="154"/>
      <c r="J1791" s="41"/>
    </row>
    <row r="1792" spans="1:10" x14ac:dyDescent="0.25">
      <c r="A1792" s="583"/>
      <c r="B1792" s="313">
        <v>4721</v>
      </c>
      <c r="C1792" s="314" t="s">
        <v>284</v>
      </c>
      <c r="D1792" s="315" t="s">
        <v>272</v>
      </c>
      <c r="E1792" s="561">
        <f>0.62*0.7*0.85</f>
        <v>0.36890000000000001</v>
      </c>
      <c r="F1792" s="317">
        <v>85.99</v>
      </c>
      <c r="G1792" s="349">
        <f>E1792*F1792</f>
        <v>31.72</v>
      </c>
      <c r="H1792" s="690"/>
      <c r="I1792" s="154"/>
      <c r="J1792" s="41"/>
    </row>
    <row r="1793" spans="1:10" x14ac:dyDescent="0.25">
      <c r="A1793" s="583"/>
      <c r="B1793" s="313">
        <v>2692</v>
      </c>
      <c r="C1793" s="314" t="s">
        <v>286</v>
      </c>
      <c r="D1793" s="315" t="s">
        <v>280</v>
      </c>
      <c r="E1793" s="316">
        <f>0.12*E1783</f>
        <v>1.08</v>
      </c>
      <c r="F1793" s="317">
        <v>9.16</v>
      </c>
      <c r="G1793" s="349">
        <f>F1793*E1793</f>
        <v>9.89</v>
      </c>
      <c r="H1793" s="690"/>
      <c r="I1793" s="154"/>
      <c r="J1793" s="41"/>
    </row>
    <row r="1794" spans="1:10" x14ac:dyDescent="0.25">
      <c r="A1794" s="583"/>
      <c r="B1794" s="313">
        <v>21108</v>
      </c>
      <c r="C1794" s="314" t="s">
        <v>442</v>
      </c>
      <c r="D1794" s="315" t="s">
        <v>270</v>
      </c>
      <c r="E1794" s="316">
        <f>7.3*E1780</f>
        <v>7.3</v>
      </c>
      <c r="F1794" s="317">
        <v>72.31</v>
      </c>
      <c r="G1794" s="349">
        <f>F1794*E1794</f>
        <v>527.86</v>
      </c>
      <c r="H1794" s="690"/>
      <c r="I1794" s="154"/>
      <c r="J1794" s="41"/>
    </row>
    <row r="1795" spans="1:10" ht="22.5" x14ac:dyDescent="0.25">
      <c r="A1795" s="583"/>
      <c r="B1795" s="313">
        <v>37659</v>
      </c>
      <c r="C1795" s="314" t="s">
        <v>444</v>
      </c>
      <c r="D1795" s="315" t="s">
        <v>271</v>
      </c>
      <c r="E1795" s="316">
        <f>9*E1794</f>
        <v>65.7</v>
      </c>
      <c r="F1795" s="317">
        <v>1.03</v>
      </c>
      <c r="G1795" s="349">
        <f>F1795*E1795</f>
        <v>67.67</v>
      </c>
      <c r="H1795" s="690"/>
      <c r="I1795" s="154"/>
      <c r="J1795" s="41"/>
    </row>
    <row r="1796" spans="1:10" ht="12" thickBot="1" x14ac:dyDescent="0.3">
      <c r="A1796" s="584"/>
      <c r="B1796" s="489">
        <v>34357</v>
      </c>
      <c r="C1796" s="490" t="s">
        <v>445</v>
      </c>
      <c r="D1796" s="491" t="s">
        <v>271</v>
      </c>
      <c r="E1796" s="562">
        <f>0.5*E1794</f>
        <v>3.65</v>
      </c>
      <c r="F1796" s="355">
        <v>2.48</v>
      </c>
      <c r="G1796" s="495">
        <f>F1796*E1796</f>
        <v>9.0500000000000007</v>
      </c>
      <c r="H1796" s="690"/>
      <c r="I1796" s="154"/>
      <c r="J1796" s="41"/>
    </row>
    <row r="1797" spans="1:10" ht="33.75" x14ac:dyDescent="0.25">
      <c r="A1797" s="582" t="s">
        <v>1253</v>
      </c>
      <c r="B1797" s="306" t="s">
        <v>1027</v>
      </c>
      <c r="C1797" s="450" t="s">
        <v>1026</v>
      </c>
      <c r="D1797" s="554" t="s">
        <v>268</v>
      </c>
      <c r="E1797" s="555">
        <v>1</v>
      </c>
      <c r="F1797" s="556">
        <f>SUM(G1798:G1813)/E1797</f>
        <v>871.29</v>
      </c>
      <c r="G1797" s="557">
        <f t="shared" ref="G1797:G1807" si="191">F1797*E1797</f>
        <v>871.29</v>
      </c>
      <c r="H1797" s="690"/>
      <c r="I1797" s="154"/>
      <c r="J1797" s="41"/>
    </row>
    <row r="1798" spans="1:10" x14ac:dyDescent="0.25">
      <c r="A1798" s="583"/>
      <c r="B1798" s="461">
        <v>4750</v>
      </c>
      <c r="C1798" s="453" t="s">
        <v>261</v>
      </c>
      <c r="D1798" s="425" t="s">
        <v>257</v>
      </c>
      <c r="E1798" s="558">
        <f>7.001*E1797</f>
        <v>7.0010000000000003</v>
      </c>
      <c r="F1798" s="427">
        <v>14.79</v>
      </c>
      <c r="G1798" s="428">
        <f t="shared" si="191"/>
        <v>103.54</v>
      </c>
      <c r="H1798" s="721"/>
      <c r="I1798" s="154"/>
      <c r="J1798" s="41"/>
    </row>
    <row r="1799" spans="1:10" ht="12" thickBot="1" x14ac:dyDescent="0.3">
      <c r="A1799" s="583"/>
      <c r="B1799" s="461">
        <v>6111</v>
      </c>
      <c r="C1799" s="453" t="s">
        <v>274</v>
      </c>
      <c r="D1799" s="425" t="s">
        <v>257</v>
      </c>
      <c r="E1799" s="558">
        <f>7.001*E1797</f>
        <v>7.0010000000000003</v>
      </c>
      <c r="F1799" s="427">
        <v>10.49</v>
      </c>
      <c r="G1799" s="428">
        <f t="shared" si="191"/>
        <v>73.44</v>
      </c>
      <c r="H1799" s="652"/>
      <c r="I1799" s="154"/>
      <c r="J1799" s="41"/>
    </row>
    <row r="1800" spans="1:10" ht="22.5" x14ac:dyDescent="0.25">
      <c r="A1800" s="583"/>
      <c r="B1800" s="313">
        <v>1346</v>
      </c>
      <c r="C1800" s="314" t="s">
        <v>1012</v>
      </c>
      <c r="D1800" s="315" t="s">
        <v>270</v>
      </c>
      <c r="E1800" s="316">
        <f>5*E1797</f>
        <v>5</v>
      </c>
      <c r="F1800" s="522">
        <v>19.71</v>
      </c>
      <c r="G1800" s="349">
        <f t="shared" si="191"/>
        <v>98.55</v>
      </c>
      <c r="H1800" s="563" t="s">
        <v>8</v>
      </c>
      <c r="I1800" s="154"/>
      <c r="J1800" s="41"/>
    </row>
    <row r="1801" spans="1:10" ht="22.5" x14ac:dyDescent="0.25">
      <c r="A1801" s="583"/>
      <c r="B1801" s="313">
        <v>4512</v>
      </c>
      <c r="C1801" s="314" t="s">
        <v>288</v>
      </c>
      <c r="D1801" s="315" t="s">
        <v>232</v>
      </c>
      <c r="E1801" s="316">
        <f>4.44*E1800</f>
        <v>22.2</v>
      </c>
      <c r="F1801" s="317">
        <v>0.83</v>
      </c>
      <c r="G1801" s="349">
        <f t="shared" si="191"/>
        <v>18.43</v>
      </c>
      <c r="H1801" s="564">
        <f>(G1798+G1799)/E1797</f>
        <v>176.98</v>
      </c>
      <c r="I1801" s="154"/>
      <c r="J1801" s="41"/>
    </row>
    <row r="1802" spans="1:10" ht="22.5" x14ac:dyDescent="0.25">
      <c r="A1802" s="583"/>
      <c r="B1802" s="313">
        <v>4491</v>
      </c>
      <c r="C1802" s="314" t="s">
        <v>287</v>
      </c>
      <c r="D1802" s="315" t="s">
        <v>232</v>
      </c>
      <c r="E1802" s="316">
        <f>2.52*E1800</f>
        <v>12.6</v>
      </c>
      <c r="F1802" s="317">
        <v>2.61</v>
      </c>
      <c r="G1802" s="349">
        <f t="shared" si="191"/>
        <v>32.89</v>
      </c>
      <c r="H1802" s="804" t="s">
        <v>9</v>
      </c>
      <c r="I1802" s="154"/>
      <c r="J1802" s="41"/>
    </row>
    <row r="1803" spans="1:10" ht="12" thickBot="1" x14ac:dyDescent="0.3">
      <c r="A1803" s="583"/>
      <c r="B1803" s="313">
        <v>5061</v>
      </c>
      <c r="C1803" s="314" t="s">
        <v>277</v>
      </c>
      <c r="D1803" s="315" t="s">
        <v>271</v>
      </c>
      <c r="E1803" s="316">
        <f>0.17*E1800</f>
        <v>0.85</v>
      </c>
      <c r="F1803" s="317">
        <v>7.75</v>
      </c>
      <c r="G1803" s="349">
        <f t="shared" si="191"/>
        <v>6.59</v>
      </c>
      <c r="H1803" s="756">
        <f>F1797-H1801</f>
        <v>694.31</v>
      </c>
      <c r="I1803" s="154"/>
      <c r="J1803" s="41"/>
    </row>
    <row r="1804" spans="1:10" x14ac:dyDescent="0.25">
      <c r="A1804" s="583"/>
      <c r="B1804" s="313">
        <v>5066</v>
      </c>
      <c r="C1804" s="314" t="s">
        <v>1022</v>
      </c>
      <c r="D1804" s="315" t="s">
        <v>13</v>
      </c>
      <c r="E1804" s="316">
        <f>0.17*E1800</f>
        <v>0.85</v>
      </c>
      <c r="F1804" s="522">
        <v>9.68</v>
      </c>
      <c r="G1804" s="349">
        <f t="shared" si="191"/>
        <v>8.23</v>
      </c>
      <c r="H1804" s="690"/>
      <c r="I1804" s="154"/>
      <c r="J1804" s="41"/>
    </row>
    <row r="1805" spans="1:10" ht="22.5" x14ac:dyDescent="0.25">
      <c r="A1805" s="583"/>
      <c r="B1805" s="313">
        <v>7155</v>
      </c>
      <c r="C1805" s="314" t="s">
        <v>521</v>
      </c>
      <c r="D1805" s="315" t="s">
        <v>270</v>
      </c>
      <c r="E1805" s="316">
        <f>(4.22+2.75*2)*0.6</f>
        <v>5.8319999999999999</v>
      </c>
      <c r="F1805" s="522">
        <v>7.84</v>
      </c>
      <c r="G1805" s="349">
        <f t="shared" si="191"/>
        <v>45.72</v>
      </c>
      <c r="H1805" s="690"/>
      <c r="I1805" s="154"/>
      <c r="J1805" s="41"/>
    </row>
    <row r="1806" spans="1:10" x14ac:dyDescent="0.25">
      <c r="A1806" s="583"/>
      <c r="B1806" s="313">
        <v>337</v>
      </c>
      <c r="C1806" s="314" t="s">
        <v>275</v>
      </c>
      <c r="D1806" s="315" t="s">
        <v>271</v>
      </c>
      <c r="E1806" s="560">
        <f>0.02*E1805*2.2</f>
        <v>0.256608</v>
      </c>
      <c r="F1806" s="317">
        <v>7</v>
      </c>
      <c r="G1806" s="349">
        <f t="shared" si="191"/>
        <v>1.8</v>
      </c>
      <c r="H1806" s="722"/>
      <c r="I1806" s="154"/>
      <c r="J1806" s="41"/>
    </row>
    <row r="1807" spans="1:10" x14ac:dyDescent="0.25">
      <c r="A1807" s="583"/>
      <c r="B1807" s="313">
        <v>1379</v>
      </c>
      <c r="C1807" s="314" t="s">
        <v>522</v>
      </c>
      <c r="D1807" s="315" t="s">
        <v>13</v>
      </c>
      <c r="E1807" s="316">
        <f>0.39*0.6*350</f>
        <v>81.900000000000006</v>
      </c>
      <c r="F1807" s="522">
        <v>0.49</v>
      </c>
      <c r="G1807" s="318">
        <f t="shared" si="191"/>
        <v>40.130000000000003</v>
      </c>
      <c r="H1807" s="690"/>
      <c r="I1807" s="154"/>
      <c r="J1807" s="41"/>
    </row>
    <row r="1808" spans="1:10" x14ac:dyDescent="0.25">
      <c r="A1808" s="583"/>
      <c r="B1808" s="313">
        <v>370</v>
      </c>
      <c r="C1808" s="314" t="s">
        <v>258</v>
      </c>
      <c r="D1808" s="315" t="s">
        <v>272</v>
      </c>
      <c r="E1808" s="561">
        <f>0.39*0.6*0.78</f>
        <v>0.18251999999999999</v>
      </c>
      <c r="F1808" s="317">
        <v>72</v>
      </c>
      <c r="G1808" s="349">
        <f>E1808*F1808</f>
        <v>13.14</v>
      </c>
      <c r="H1808" s="690"/>
      <c r="I1808" s="154"/>
      <c r="J1808" s="41"/>
    </row>
    <row r="1809" spans="1:10" x14ac:dyDescent="0.25">
      <c r="A1809" s="583"/>
      <c r="B1809" s="313">
        <v>4721</v>
      </c>
      <c r="C1809" s="314" t="s">
        <v>284</v>
      </c>
      <c r="D1809" s="315" t="s">
        <v>272</v>
      </c>
      <c r="E1809" s="561">
        <f>0.39*0.6*0.85</f>
        <v>0.19889999999999999</v>
      </c>
      <c r="F1809" s="317">
        <v>85.99</v>
      </c>
      <c r="G1809" s="349">
        <f>E1809*F1809</f>
        <v>17.100000000000001</v>
      </c>
      <c r="H1809" s="690"/>
      <c r="I1809" s="154"/>
      <c r="J1809" s="41"/>
    </row>
    <row r="1810" spans="1:10" x14ac:dyDescent="0.25">
      <c r="A1810" s="583"/>
      <c r="B1810" s="313">
        <v>2692</v>
      </c>
      <c r="C1810" s="314" t="s">
        <v>286</v>
      </c>
      <c r="D1810" s="315" t="s">
        <v>280</v>
      </c>
      <c r="E1810" s="316">
        <f>0.12*E1800</f>
        <v>0.6</v>
      </c>
      <c r="F1810" s="317">
        <v>9.16</v>
      </c>
      <c r="G1810" s="349">
        <f>F1810*E1810</f>
        <v>5.5</v>
      </c>
      <c r="H1810" s="690"/>
      <c r="I1810" s="154"/>
      <c r="J1810" s="41"/>
    </row>
    <row r="1811" spans="1:10" x14ac:dyDescent="0.25">
      <c r="A1811" s="583"/>
      <c r="B1811" s="313">
        <v>21108</v>
      </c>
      <c r="C1811" s="314" t="s">
        <v>442</v>
      </c>
      <c r="D1811" s="315" t="s">
        <v>270</v>
      </c>
      <c r="E1811" s="316">
        <f>4.905*E1797</f>
        <v>4.9050000000000002</v>
      </c>
      <c r="F1811" s="317">
        <v>72.31</v>
      </c>
      <c r="G1811" s="349">
        <f>F1811*E1811</f>
        <v>354.68</v>
      </c>
      <c r="H1811" s="690"/>
      <c r="I1811" s="154"/>
      <c r="J1811" s="41"/>
    </row>
    <row r="1812" spans="1:10" ht="22.5" x14ac:dyDescent="0.25">
      <c r="A1812" s="583"/>
      <c r="B1812" s="313">
        <v>37659</v>
      </c>
      <c r="C1812" s="314" t="s">
        <v>444</v>
      </c>
      <c r="D1812" s="315" t="s">
        <v>271</v>
      </c>
      <c r="E1812" s="316">
        <f>9*E1811</f>
        <v>44.145000000000003</v>
      </c>
      <c r="F1812" s="317">
        <v>1.03</v>
      </c>
      <c r="G1812" s="349">
        <f>F1812*E1812</f>
        <v>45.47</v>
      </c>
      <c r="H1812" s="690"/>
      <c r="I1812" s="154"/>
      <c r="J1812" s="41"/>
    </row>
    <row r="1813" spans="1:10" ht="12" thickBot="1" x14ac:dyDescent="0.3">
      <c r="A1813" s="584"/>
      <c r="B1813" s="489">
        <v>34357</v>
      </c>
      <c r="C1813" s="490" t="s">
        <v>445</v>
      </c>
      <c r="D1813" s="491" t="s">
        <v>271</v>
      </c>
      <c r="E1813" s="562">
        <f>0.5*E1811</f>
        <v>2.4525000000000001</v>
      </c>
      <c r="F1813" s="355">
        <v>2.48</v>
      </c>
      <c r="G1813" s="495">
        <f>F1813*E1813</f>
        <v>6.08</v>
      </c>
      <c r="H1813" s="690"/>
      <c r="I1813" s="154"/>
      <c r="J1813" s="41"/>
    </row>
    <row r="1814" spans="1:10" ht="33.75" x14ac:dyDescent="0.25">
      <c r="A1814" s="582" t="s">
        <v>1254</v>
      </c>
      <c r="B1814" s="306" t="s">
        <v>1029</v>
      </c>
      <c r="C1814" s="450" t="s">
        <v>1028</v>
      </c>
      <c r="D1814" s="554" t="s">
        <v>268</v>
      </c>
      <c r="E1814" s="555">
        <v>1</v>
      </c>
      <c r="F1814" s="556">
        <f>SUM(G1815:G1830)/E1814</f>
        <v>853.75</v>
      </c>
      <c r="G1814" s="557">
        <f t="shared" ref="G1814:G1824" si="192">F1814*E1814</f>
        <v>853.75</v>
      </c>
      <c r="H1814" s="690"/>
      <c r="I1814" s="154"/>
      <c r="J1814" s="41"/>
    </row>
    <row r="1815" spans="1:10" x14ac:dyDescent="0.25">
      <c r="A1815" s="583"/>
      <c r="B1815" s="461">
        <v>4750</v>
      </c>
      <c r="C1815" s="453" t="s">
        <v>261</v>
      </c>
      <c r="D1815" s="425" t="s">
        <v>257</v>
      </c>
      <c r="E1815" s="558">
        <f>7.089*E1814</f>
        <v>7.0890000000000004</v>
      </c>
      <c r="F1815" s="427">
        <v>14.79</v>
      </c>
      <c r="G1815" s="428">
        <f t="shared" si="192"/>
        <v>104.85</v>
      </c>
      <c r="H1815" s="721"/>
      <c r="I1815" s="154"/>
      <c r="J1815" s="41"/>
    </row>
    <row r="1816" spans="1:10" ht="12" thickBot="1" x14ac:dyDescent="0.3">
      <c r="A1816" s="583"/>
      <c r="B1816" s="461">
        <v>6111</v>
      </c>
      <c r="C1816" s="453" t="s">
        <v>274</v>
      </c>
      <c r="D1816" s="425" t="s">
        <v>257</v>
      </c>
      <c r="E1816" s="558">
        <f>7.088*E1814</f>
        <v>7.0880000000000001</v>
      </c>
      <c r="F1816" s="427">
        <v>10.49</v>
      </c>
      <c r="G1816" s="428">
        <f t="shared" si="192"/>
        <v>74.349999999999994</v>
      </c>
      <c r="H1816" s="652"/>
      <c r="I1816" s="154"/>
      <c r="J1816" s="41"/>
    </row>
    <row r="1817" spans="1:10" ht="22.5" x14ac:dyDescent="0.25">
      <c r="A1817" s="583"/>
      <c r="B1817" s="313">
        <v>1346</v>
      </c>
      <c r="C1817" s="314" t="s">
        <v>1021</v>
      </c>
      <c r="D1817" s="315" t="s">
        <v>270</v>
      </c>
      <c r="E1817" s="316">
        <f>5*E1814</f>
        <v>5</v>
      </c>
      <c r="F1817" s="522">
        <v>19.71</v>
      </c>
      <c r="G1817" s="349">
        <f t="shared" si="192"/>
        <v>98.55</v>
      </c>
      <c r="H1817" s="563" t="s">
        <v>8</v>
      </c>
      <c r="I1817" s="154"/>
      <c r="J1817" s="41"/>
    </row>
    <row r="1818" spans="1:10" ht="22.5" x14ac:dyDescent="0.25">
      <c r="A1818" s="583"/>
      <c r="B1818" s="313">
        <v>4512</v>
      </c>
      <c r="C1818" s="314" t="s">
        <v>288</v>
      </c>
      <c r="D1818" s="315" t="s">
        <v>232</v>
      </c>
      <c r="E1818" s="316">
        <f>4.44*E1817</f>
        <v>22.2</v>
      </c>
      <c r="F1818" s="317">
        <v>0.83</v>
      </c>
      <c r="G1818" s="349">
        <f t="shared" si="192"/>
        <v>18.43</v>
      </c>
      <c r="H1818" s="564">
        <f>(G1815+G1816)/E1814</f>
        <v>179.2</v>
      </c>
      <c r="I1818" s="154"/>
      <c r="J1818" s="41"/>
    </row>
    <row r="1819" spans="1:10" ht="22.5" x14ac:dyDescent="0.25">
      <c r="A1819" s="583"/>
      <c r="B1819" s="313">
        <v>4491</v>
      </c>
      <c r="C1819" s="314" t="s">
        <v>287</v>
      </c>
      <c r="D1819" s="315" t="s">
        <v>232</v>
      </c>
      <c r="E1819" s="316">
        <f>2.52*E1817</f>
        <v>12.6</v>
      </c>
      <c r="F1819" s="317">
        <v>2.61</v>
      </c>
      <c r="G1819" s="349">
        <f t="shared" si="192"/>
        <v>32.89</v>
      </c>
      <c r="H1819" s="804" t="s">
        <v>9</v>
      </c>
      <c r="I1819" s="154"/>
      <c r="J1819" s="41"/>
    </row>
    <row r="1820" spans="1:10" ht="12" thickBot="1" x14ac:dyDescent="0.3">
      <c r="A1820" s="583"/>
      <c r="B1820" s="313">
        <v>5061</v>
      </c>
      <c r="C1820" s="314" t="s">
        <v>277</v>
      </c>
      <c r="D1820" s="315" t="s">
        <v>271</v>
      </c>
      <c r="E1820" s="316">
        <f>0.17*E1817</f>
        <v>0.85</v>
      </c>
      <c r="F1820" s="317">
        <v>7.75</v>
      </c>
      <c r="G1820" s="349">
        <f t="shared" si="192"/>
        <v>6.59</v>
      </c>
      <c r="H1820" s="756">
        <f>F1814-H1818</f>
        <v>674.55</v>
      </c>
      <c r="I1820" s="154"/>
      <c r="J1820" s="41"/>
    </row>
    <row r="1821" spans="1:10" x14ac:dyDescent="0.25">
      <c r="A1821" s="583"/>
      <c r="B1821" s="313">
        <v>5066</v>
      </c>
      <c r="C1821" s="314" t="s">
        <v>1339</v>
      </c>
      <c r="D1821" s="315" t="s">
        <v>13</v>
      </c>
      <c r="E1821" s="316">
        <f>0.17*E1817</f>
        <v>0.85</v>
      </c>
      <c r="F1821" s="522">
        <v>9.68</v>
      </c>
      <c r="G1821" s="349">
        <f t="shared" si="192"/>
        <v>8.23</v>
      </c>
      <c r="H1821" s="690"/>
      <c r="I1821" s="154"/>
      <c r="J1821" s="41"/>
    </row>
    <row r="1822" spans="1:10" ht="22.5" x14ac:dyDescent="0.25">
      <c r="A1822" s="583"/>
      <c r="B1822" s="313">
        <v>7155</v>
      </c>
      <c r="C1822" s="314" t="s">
        <v>521</v>
      </c>
      <c r="D1822" s="315" t="s">
        <v>270</v>
      </c>
      <c r="E1822" s="316">
        <f>(4.12+2.7*2)*0.6</f>
        <v>5.7119999999999997</v>
      </c>
      <c r="F1822" s="522">
        <v>7.84</v>
      </c>
      <c r="G1822" s="349">
        <f t="shared" si="192"/>
        <v>44.78</v>
      </c>
      <c r="H1822" s="690"/>
      <c r="I1822" s="154"/>
      <c r="J1822" s="41"/>
    </row>
    <row r="1823" spans="1:10" x14ac:dyDescent="0.25">
      <c r="A1823" s="583"/>
      <c r="B1823" s="313">
        <v>337</v>
      </c>
      <c r="C1823" s="314" t="s">
        <v>275</v>
      </c>
      <c r="D1823" s="315" t="s">
        <v>271</v>
      </c>
      <c r="E1823" s="560">
        <f>0.02*E1822*2.2</f>
        <v>0.251328</v>
      </c>
      <c r="F1823" s="317">
        <v>7</v>
      </c>
      <c r="G1823" s="349">
        <f t="shared" si="192"/>
        <v>1.76</v>
      </c>
      <c r="H1823" s="722"/>
      <c r="I1823" s="154"/>
      <c r="J1823" s="41"/>
    </row>
    <row r="1824" spans="1:10" x14ac:dyDescent="0.25">
      <c r="A1824" s="583"/>
      <c r="B1824" s="313">
        <v>1379</v>
      </c>
      <c r="C1824" s="314" t="s">
        <v>522</v>
      </c>
      <c r="D1824" s="315" t="s">
        <v>13</v>
      </c>
      <c r="E1824" s="316">
        <f>0.38*0.6*350</f>
        <v>79.8</v>
      </c>
      <c r="F1824" s="522">
        <v>0.49</v>
      </c>
      <c r="G1824" s="318">
        <f t="shared" si="192"/>
        <v>39.1</v>
      </c>
      <c r="H1824" s="690"/>
      <c r="I1824" s="154"/>
      <c r="J1824" s="41"/>
    </row>
    <row r="1825" spans="1:10" x14ac:dyDescent="0.25">
      <c r="A1825" s="583"/>
      <c r="B1825" s="313">
        <v>370</v>
      </c>
      <c r="C1825" s="314" t="s">
        <v>258</v>
      </c>
      <c r="D1825" s="315" t="s">
        <v>272</v>
      </c>
      <c r="E1825" s="561">
        <f>0.38*0.6*0.78</f>
        <v>0.17784</v>
      </c>
      <c r="F1825" s="317">
        <v>72</v>
      </c>
      <c r="G1825" s="349">
        <f>E1825*F1825</f>
        <v>12.8</v>
      </c>
      <c r="H1825" s="690"/>
      <c r="I1825" s="154"/>
      <c r="J1825" s="41"/>
    </row>
    <row r="1826" spans="1:10" x14ac:dyDescent="0.25">
      <c r="A1826" s="583"/>
      <c r="B1826" s="313">
        <v>4721</v>
      </c>
      <c r="C1826" s="314" t="s">
        <v>284</v>
      </c>
      <c r="D1826" s="315" t="s">
        <v>272</v>
      </c>
      <c r="E1826" s="561">
        <f>0.38*0.6*0.85</f>
        <v>0.1938</v>
      </c>
      <c r="F1826" s="317">
        <v>85.99</v>
      </c>
      <c r="G1826" s="349">
        <f>E1826*F1826</f>
        <v>16.66</v>
      </c>
      <c r="H1826" s="690"/>
      <c r="I1826" s="154"/>
      <c r="J1826" s="41"/>
    </row>
    <row r="1827" spans="1:10" x14ac:dyDescent="0.25">
      <c r="A1827" s="583"/>
      <c r="B1827" s="313">
        <v>2692</v>
      </c>
      <c r="C1827" s="314" t="s">
        <v>286</v>
      </c>
      <c r="D1827" s="315" t="s">
        <v>280</v>
      </c>
      <c r="E1827" s="316">
        <f>0.12*E1817</f>
        <v>0.6</v>
      </c>
      <c r="F1827" s="317">
        <v>9.16</v>
      </c>
      <c r="G1827" s="349">
        <f>F1827*E1827</f>
        <v>5.5</v>
      </c>
      <c r="H1827" s="690"/>
      <c r="I1827" s="154"/>
      <c r="J1827" s="41"/>
    </row>
    <row r="1828" spans="1:10" x14ac:dyDescent="0.25">
      <c r="A1828" s="583"/>
      <c r="B1828" s="313">
        <v>21108</v>
      </c>
      <c r="C1828" s="314" t="s">
        <v>442</v>
      </c>
      <c r="D1828" s="315" t="s">
        <v>270</v>
      </c>
      <c r="E1828" s="316">
        <f>4.7*E1814</f>
        <v>4.7</v>
      </c>
      <c r="F1828" s="317">
        <v>72.31</v>
      </c>
      <c r="G1828" s="349">
        <f>F1828*E1828</f>
        <v>339.86</v>
      </c>
      <c r="H1828" s="690"/>
      <c r="I1828" s="154"/>
      <c r="J1828" s="41"/>
    </row>
    <row r="1829" spans="1:10" ht="22.5" x14ac:dyDescent="0.25">
      <c r="A1829" s="583"/>
      <c r="B1829" s="313">
        <v>37659</v>
      </c>
      <c r="C1829" s="314" t="s">
        <v>444</v>
      </c>
      <c r="D1829" s="315" t="s">
        <v>271</v>
      </c>
      <c r="E1829" s="316">
        <f>9*E1828</f>
        <v>42.3</v>
      </c>
      <c r="F1829" s="317">
        <v>1.03</v>
      </c>
      <c r="G1829" s="349">
        <f>F1829*E1829</f>
        <v>43.57</v>
      </c>
      <c r="H1829" s="690"/>
      <c r="I1829" s="154"/>
      <c r="J1829" s="41"/>
    </row>
    <row r="1830" spans="1:10" ht="12" thickBot="1" x14ac:dyDescent="0.3">
      <c r="A1830" s="584"/>
      <c r="B1830" s="489">
        <v>34357</v>
      </c>
      <c r="C1830" s="490" t="s">
        <v>445</v>
      </c>
      <c r="D1830" s="491" t="s">
        <v>271</v>
      </c>
      <c r="E1830" s="562">
        <f>0.5*E1828</f>
        <v>2.35</v>
      </c>
      <c r="F1830" s="355">
        <v>2.48</v>
      </c>
      <c r="G1830" s="495">
        <f>F1830*E1830</f>
        <v>5.83</v>
      </c>
      <c r="H1830" s="690"/>
      <c r="I1830" s="154"/>
      <c r="J1830" s="41"/>
    </row>
    <row r="1831" spans="1:10" ht="33.75" x14ac:dyDescent="0.25">
      <c r="A1831" s="582" t="s">
        <v>1255</v>
      </c>
      <c r="B1831" s="306" t="s">
        <v>1030</v>
      </c>
      <c r="C1831" s="450" t="s">
        <v>1031</v>
      </c>
      <c r="D1831" s="554" t="s">
        <v>268</v>
      </c>
      <c r="E1831" s="555">
        <v>1</v>
      </c>
      <c r="F1831" s="556">
        <f>SUM(G1832:G1847)/E1831</f>
        <v>1086.58</v>
      </c>
      <c r="G1831" s="557">
        <f t="shared" ref="G1831:G1841" si="193">F1831*E1831</f>
        <v>1086.58</v>
      </c>
      <c r="H1831" s="690"/>
      <c r="I1831" s="154"/>
      <c r="J1831" s="41"/>
    </row>
    <row r="1832" spans="1:10" x14ac:dyDescent="0.25">
      <c r="A1832" s="583"/>
      <c r="B1832" s="461">
        <v>4750</v>
      </c>
      <c r="C1832" s="453" t="s">
        <v>261</v>
      </c>
      <c r="D1832" s="425" t="s">
        <v>257</v>
      </c>
      <c r="E1832" s="558">
        <f>9.485*E1831</f>
        <v>9.4849999999999994</v>
      </c>
      <c r="F1832" s="427">
        <v>14.79</v>
      </c>
      <c r="G1832" s="428">
        <f t="shared" si="193"/>
        <v>140.28</v>
      </c>
      <c r="H1832" s="721"/>
      <c r="I1832" s="154"/>
      <c r="J1832" s="41"/>
    </row>
    <row r="1833" spans="1:10" ht="12" thickBot="1" x14ac:dyDescent="0.3">
      <c r="A1833" s="583"/>
      <c r="B1833" s="461">
        <v>6111</v>
      </c>
      <c r="C1833" s="453" t="s">
        <v>274</v>
      </c>
      <c r="D1833" s="425" t="s">
        <v>257</v>
      </c>
      <c r="E1833" s="558">
        <f>9.481*E1831</f>
        <v>9.4809999999999999</v>
      </c>
      <c r="F1833" s="427">
        <v>10.49</v>
      </c>
      <c r="G1833" s="428">
        <f t="shared" si="193"/>
        <v>99.46</v>
      </c>
      <c r="H1833" s="652"/>
      <c r="I1833" s="154"/>
      <c r="J1833" s="41"/>
    </row>
    <row r="1834" spans="1:10" ht="22.5" x14ac:dyDescent="0.25">
      <c r="A1834" s="583"/>
      <c r="B1834" s="313">
        <v>1346</v>
      </c>
      <c r="C1834" s="314" t="s">
        <v>1019</v>
      </c>
      <c r="D1834" s="315" t="s">
        <v>270</v>
      </c>
      <c r="E1834" s="316">
        <f>7*E1831</f>
        <v>7</v>
      </c>
      <c r="F1834" s="522">
        <v>19.71</v>
      </c>
      <c r="G1834" s="349">
        <f t="shared" si="193"/>
        <v>137.97</v>
      </c>
      <c r="H1834" s="563" t="s">
        <v>8</v>
      </c>
      <c r="I1834" s="154"/>
      <c r="J1834" s="41"/>
    </row>
    <row r="1835" spans="1:10" ht="22.5" x14ac:dyDescent="0.25">
      <c r="A1835" s="583"/>
      <c r="B1835" s="313">
        <v>4512</v>
      </c>
      <c r="C1835" s="314" t="s">
        <v>288</v>
      </c>
      <c r="D1835" s="315" t="s">
        <v>232</v>
      </c>
      <c r="E1835" s="316">
        <f>4.44*E1834</f>
        <v>31.08</v>
      </c>
      <c r="F1835" s="317">
        <v>0.83</v>
      </c>
      <c r="G1835" s="349">
        <f t="shared" si="193"/>
        <v>25.8</v>
      </c>
      <c r="H1835" s="564">
        <f>(G1832+G1833)/E1831</f>
        <v>239.74</v>
      </c>
      <c r="I1835" s="154"/>
      <c r="J1835" s="41"/>
    </row>
    <row r="1836" spans="1:10" ht="22.5" x14ac:dyDescent="0.25">
      <c r="A1836" s="583"/>
      <c r="B1836" s="313">
        <v>4491</v>
      </c>
      <c r="C1836" s="314" t="s">
        <v>287</v>
      </c>
      <c r="D1836" s="315" t="s">
        <v>232</v>
      </c>
      <c r="E1836" s="316">
        <f>2.52*E1834</f>
        <v>17.64</v>
      </c>
      <c r="F1836" s="317">
        <v>2.61</v>
      </c>
      <c r="G1836" s="349">
        <f t="shared" si="193"/>
        <v>46.04</v>
      </c>
      <c r="H1836" s="804" t="s">
        <v>9</v>
      </c>
      <c r="I1836" s="154"/>
      <c r="J1836" s="41"/>
    </row>
    <row r="1837" spans="1:10" ht="12" thickBot="1" x14ac:dyDescent="0.3">
      <c r="A1837" s="583"/>
      <c r="B1837" s="313">
        <v>5061</v>
      </c>
      <c r="C1837" s="314" t="s">
        <v>277</v>
      </c>
      <c r="D1837" s="315" t="s">
        <v>271</v>
      </c>
      <c r="E1837" s="316">
        <f>0.17*E1834</f>
        <v>1.19</v>
      </c>
      <c r="F1837" s="317">
        <v>7.75</v>
      </c>
      <c r="G1837" s="349">
        <f t="shared" si="193"/>
        <v>9.2200000000000006</v>
      </c>
      <c r="H1837" s="756">
        <f>F1831-H1835</f>
        <v>846.84</v>
      </c>
      <c r="I1837" s="154"/>
      <c r="J1837" s="41"/>
    </row>
    <row r="1838" spans="1:10" x14ac:dyDescent="0.25">
      <c r="A1838" s="583"/>
      <c r="B1838" s="313">
        <v>5066</v>
      </c>
      <c r="C1838" s="314" t="s">
        <v>1013</v>
      </c>
      <c r="D1838" s="315" t="s">
        <v>13</v>
      </c>
      <c r="E1838" s="316">
        <f>0.17*E1834</f>
        <v>1.19</v>
      </c>
      <c r="F1838" s="522">
        <v>9.68</v>
      </c>
      <c r="G1838" s="349">
        <f t="shared" si="193"/>
        <v>11.52</v>
      </c>
      <c r="H1838" s="690"/>
      <c r="I1838" s="154"/>
      <c r="J1838" s="41"/>
    </row>
    <row r="1839" spans="1:10" ht="22.5" x14ac:dyDescent="0.25">
      <c r="A1839" s="583"/>
      <c r="B1839" s="313">
        <v>7155</v>
      </c>
      <c r="C1839" s="314" t="s">
        <v>1014</v>
      </c>
      <c r="D1839" s="315" t="s">
        <v>270</v>
      </c>
      <c r="E1839" s="316">
        <f>(5.37+3.33*2)*0.7</f>
        <v>8.4209999999999994</v>
      </c>
      <c r="F1839" s="522">
        <v>7.84</v>
      </c>
      <c r="G1839" s="349">
        <f t="shared" si="193"/>
        <v>66.02</v>
      </c>
      <c r="H1839" s="690"/>
      <c r="I1839" s="154"/>
      <c r="J1839" s="41"/>
    </row>
    <row r="1840" spans="1:10" x14ac:dyDescent="0.25">
      <c r="A1840" s="583"/>
      <c r="B1840" s="313">
        <v>337</v>
      </c>
      <c r="C1840" s="314" t="s">
        <v>275</v>
      </c>
      <c r="D1840" s="315" t="s">
        <v>271</v>
      </c>
      <c r="E1840" s="560">
        <f>0.02*E1839*2.2</f>
        <v>0.37052400000000002</v>
      </c>
      <c r="F1840" s="317">
        <v>7</v>
      </c>
      <c r="G1840" s="349">
        <f t="shared" si="193"/>
        <v>2.59</v>
      </c>
      <c r="H1840" s="722"/>
      <c r="I1840" s="154"/>
      <c r="J1840" s="41"/>
    </row>
    <row r="1841" spans="1:10" x14ac:dyDescent="0.25">
      <c r="A1841" s="583"/>
      <c r="B1841" s="313">
        <v>1379</v>
      </c>
      <c r="C1841" s="314" t="s">
        <v>522</v>
      </c>
      <c r="D1841" s="315" t="s">
        <v>13</v>
      </c>
      <c r="E1841" s="316">
        <f>0.48*0.7*350</f>
        <v>117.6</v>
      </c>
      <c r="F1841" s="522">
        <v>0.49</v>
      </c>
      <c r="G1841" s="318">
        <f t="shared" si="193"/>
        <v>57.62</v>
      </c>
      <c r="H1841" s="690"/>
      <c r="I1841" s="154"/>
      <c r="J1841" s="41"/>
    </row>
    <row r="1842" spans="1:10" x14ac:dyDescent="0.25">
      <c r="A1842" s="583"/>
      <c r="B1842" s="313">
        <v>370</v>
      </c>
      <c r="C1842" s="314" t="s">
        <v>258</v>
      </c>
      <c r="D1842" s="315" t="s">
        <v>272</v>
      </c>
      <c r="E1842" s="561">
        <f>0.48*0.7*0.78</f>
        <v>0.26207999999999998</v>
      </c>
      <c r="F1842" s="317">
        <v>72</v>
      </c>
      <c r="G1842" s="349">
        <f>E1842*F1842</f>
        <v>18.87</v>
      </c>
      <c r="H1842" s="690"/>
      <c r="I1842" s="154"/>
      <c r="J1842" s="41"/>
    </row>
    <row r="1843" spans="1:10" x14ac:dyDescent="0.25">
      <c r="A1843" s="583"/>
      <c r="B1843" s="313">
        <v>4721</v>
      </c>
      <c r="C1843" s="314" t="s">
        <v>284</v>
      </c>
      <c r="D1843" s="315" t="s">
        <v>272</v>
      </c>
      <c r="E1843" s="561">
        <f>0.48*0.7*0.85</f>
        <v>0.28560000000000002</v>
      </c>
      <c r="F1843" s="317">
        <v>85.99</v>
      </c>
      <c r="G1843" s="349">
        <f>E1843*F1843</f>
        <v>24.56</v>
      </c>
      <c r="H1843" s="690"/>
      <c r="I1843" s="154"/>
      <c r="J1843" s="41"/>
    </row>
    <row r="1844" spans="1:10" x14ac:dyDescent="0.25">
      <c r="A1844" s="583"/>
      <c r="B1844" s="313">
        <v>2692</v>
      </c>
      <c r="C1844" s="314" t="s">
        <v>286</v>
      </c>
      <c r="D1844" s="315" t="s">
        <v>280</v>
      </c>
      <c r="E1844" s="316">
        <f>0.12*E1834</f>
        <v>0.84</v>
      </c>
      <c r="F1844" s="317">
        <v>9.16</v>
      </c>
      <c r="G1844" s="349">
        <f>F1844*E1844</f>
        <v>7.69</v>
      </c>
      <c r="H1844" s="690"/>
      <c r="I1844" s="154"/>
      <c r="J1844" s="41"/>
    </row>
    <row r="1845" spans="1:10" x14ac:dyDescent="0.25">
      <c r="A1845" s="583"/>
      <c r="B1845" s="313">
        <v>21108</v>
      </c>
      <c r="C1845" s="314" t="s">
        <v>442</v>
      </c>
      <c r="D1845" s="315" t="s">
        <v>270</v>
      </c>
      <c r="E1845" s="316">
        <f>5.3*E1831</f>
        <v>5.3</v>
      </c>
      <c r="F1845" s="317">
        <v>72.31</v>
      </c>
      <c r="G1845" s="349">
        <f>F1845*E1845</f>
        <v>383.24</v>
      </c>
      <c r="H1845" s="690"/>
      <c r="I1845" s="154"/>
      <c r="J1845" s="41"/>
    </row>
    <row r="1846" spans="1:10" ht="22.5" x14ac:dyDescent="0.25">
      <c r="A1846" s="583"/>
      <c r="B1846" s="313">
        <v>37659</v>
      </c>
      <c r="C1846" s="314" t="s">
        <v>444</v>
      </c>
      <c r="D1846" s="315" t="s">
        <v>271</v>
      </c>
      <c r="E1846" s="316">
        <f>9*E1845</f>
        <v>47.7</v>
      </c>
      <c r="F1846" s="317">
        <v>1.03</v>
      </c>
      <c r="G1846" s="349">
        <f>F1846*E1846</f>
        <v>49.13</v>
      </c>
      <c r="H1846" s="690"/>
      <c r="I1846" s="154"/>
      <c r="J1846" s="41"/>
    </row>
    <row r="1847" spans="1:10" ht="12" thickBot="1" x14ac:dyDescent="0.3">
      <c r="A1847" s="584"/>
      <c r="B1847" s="489">
        <v>34357</v>
      </c>
      <c r="C1847" s="490" t="s">
        <v>445</v>
      </c>
      <c r="D1847" s="491" t="s">
        <v>271</v>
      </c>
      <c r="E1847" s="562">
        <f>0.5*E1845</f>
        <v>2.65</v>
      </c>
      <c r="F1847" s="355">
        <v>2.48</v>
      </c>
      <c r="G1847" s="495">
        <f>F1847*E1847</f>
        <v>6.57</v>
      </c>
      <c r="H1847" s="690"/>
      <c r="I1847" s="154"/>
      <c r="J1847" s="41"/>
    </row>
    <row r="1848" spans="1:10" ht="33.75" x14ac:dyDescent="0.25">
      <c r="A1848" s="582" t="s">
        <v>1256</v>
      </c>
      <c r="B1848" s="306" t="s">
        <v>1033</v>
      </c>
      <c r="C1848" s="450" t="s">
        <v>1032</v>
      </c>
      <c r="D1848" s="554" t="s">
        <v>268</v>
      </c>
      <c r="E1848" s="555">
        <v>1</v>
      </c>
      <c r="F1848" s="556">
        <f>SUM(G1849:G1864)/E1848</f>
        <v>1640.73</v>
      </c>
      <c r="G1848" s="557">
        <f t="shared" ref="G1848:G1858" si="194">F1848*E1848</f>
        <v>1640.73</v>
      </c>
      <c r="H1848" s="690"/>
      <c r="I1848" s="154"/>
      <c r="J1848" s="41"/>
    </row>
    <row r="1849" spans="1:10" x14ac:dyDescent="0.25">
      <c r="A1849" s="583"/>
      <c r="B1849" s="461">
        <v>4750</v>
      </c>
      <c r="C1849" s="453" t="s">
        <v>261</v>
      </c>
      <c r="D1849" s="425" t="s">
        <v>257</v>
      </c>
      <c r="E1849" s="558">
        <f>14.985*E1848</f>
        <v>14.984999999999999</v>
      </c>
      <c r="F1849" s="427">
        <v>14.79</v>
      </c>
      <c r="G1849" s="428">
        <f t="shared" si="194"/>
        <v>221.63</v>
      </c>
      <c r="H1849" s="721"/>
      <c r="I1849" s="154"/>
      <c r="J1849" s="41"/>
    </row>
    <row r="1850" spans="1:10" ht="12" thickBot="1" x14ac:dyDescent="0.3">
      <c r="A1850" s="583"/>
      <c r="B1850" s="461">
        <v>6111</v>
      </c>
      <c r="C1850" s="453" t="s">
        <v>274</v>
      </c>
      <c r="D1850" s="425" t="s">
        <v>257</v>
      </c>
      <c r="E1850" s="558">
        <f>14.985*E1848</f>
        <v>14.984999999999999</v>
      </c>
      <c r="F1850" s="427">
        <v>10.49</v>
      </c>
      <c r="G1850" s="428">
        <f t="shared" si="194"/>
        <v>157.19</v>
      </c>
      <c r="H1850" s="652"/>
      <c r="I1850" s="154"/>
      <c r="J1850" s="41"/>
    </row>
    <row r="1851" spans="1:10" ht="22.5" x14ac:dyDescent="0.25">
      <c r="A1851" s="583"/>
      <c r="B1851" s="313">
        <v>1346</v>
      </c>
      <c r="C1851" s="314" t="s">
        <v>1334</v>
      </c>
      <c r="D1851" s="315" t="s">
        <v>270</v>
      </c>
      <c r="E1851" s="316">
        <f>10*E1848</f>
        <v>10</v>
      </c>
      <c r="F1851" s="522">
        <v>19.71</v>
      </c>
      <c r="G1851" s="349">
        <f t="shared" si="194"/>
        <v>197.1</v>
      </c>
      <c r="H1851" s="563" t="s">
        <v>8</v>
      </c>
      <c r="I1851" s="154"/>
      <c r="J1851" s="41"/>
    </row>
    <row r="1852" spans="1:10" ht="22.5" x14ac:dyDescent="0.25">
      <c r="A1852" s="583"/>
      <c r="B1852" s="313">
        <v>4512</v>
      </c>
      <c r="C1852" s="314" t="s">
        <v>288</v>
      </c>
      <c r="D1852" s="315" t="s">
        <v>232</v>
      </c>
      <c r="E1852" s="316">
        <f>4.44*E1851</f>
        <v>44.4</v>
      </c>
      <c r="F1852" s="317">
        <v>0.83</v>
      </c>
      <c r="G1852" s="349">
        <f t="shared" si="194"/>
        <v>36.85</v>
      </c>
      <c r="H1852" s="564">
        <f>(G1849+G1850)/E1848</f>
        <v>378.82</v>
      </c>
      <c r="I1852" s="154"/>
      <c r="J1852" s="41"/>
    </row>
    <row r="1853" spans="1:10" ht="22.5" x14ac:dyDescent="0.25">
      <c r="A1853" s="583"/>
      <c r="B1853" s="313">
        <v>4491</v>
      </c>
      <c r="C1853" s="314" t="s">
        <v>287</v>
      </c>
      <c r="D1853" s="315" t="s">
        <v>232</v>
      </c>
      <c r="E1853" s="316">
        <f>2.52*E1851</f>
        <v>25.2</v>
      </c>
      <c r="F1853" s="317">
        <v>2.61</v>
      </c>
      <c r="G1853" s="349">
        <f t="shared" si="194"/>
        <v>65.77</v>
      </c>
      <c r="H1853" s="804" t="s">
        <v>9</v>
      </c>
      <c r="I1853" s="154"/>
      <c r="J1853" s="41"/>
    </row>
    <row r="1854" spans="1:10" ht="12" thickBot="1" x14ac:dyDescent="0.3">
      <c r="A1854" s="583"/>
      <c r="B1854" s="313">
        <v>5061</v>
      </c>
      <c r="C1854" s="314" t="s">
        <v>277</v>
      </c>
      <c r="D1854" s="315" t="s">
        <v>271</v>
      </c>
      <c r="E1854" s="316">
        <f>0.17*E1851</f>
        <v>1.7</v>
      </c>
      <c r="F1854" s="317">
        <v>7.75</v>
      </c>
      <c r="G1854" s="349">
        <f t="shared" si="194"/>
        <v>13.18</v>
      </c>
      <c r="H1854" s="756">
        <f>F1848-H1852</f>
        <v>1261.9100000000001</v>
      </c>
      <c r="I1854" s="154"/>
      <c r="J1854" s="41"/>
    </row>
    <row r="1855" spans="1:10" x14ac:dyDescent="0.25">
      <c r="A1855" s="583"/>
      <c r="B1855" s="313">
        <v>5066</v>
      </c>
      <c r="C1855" s="314" t="s">
        <v>1335</v>
      </c>
      <c r="D1855" s="315" t="s">
        <v>13</v>
      </c>
      <c r="E1855" s="316">
        <f>0.17*E1851</f>
        <v>1.7</v>
      </c>
      <c r="F1855" s="522">
        <v>9.68</v>
      </c>
      <c r="G1855" s="349">
        <f t="shared" si="194"/>
        <v>16.46</v>
      </c>
      <c r="H1855" s="690"/>
      <c r="I1855" s="154"/>
      <c r="J1855" s="41"/>
    </row>
    <row r="1856" spans="1:10" ht="22.5" x14ac:dyDescent="0.25">
      <c r="A1856" s="583"/>
      <c r="B1856" s="313">
        <v>7155</v>
      </c>
      <c r="C1856" s="314" t="s">
        <v>521</v>
      </c>
      <c r="D1856" s="315" t="s">
        <v>270</v>
      </c>
      <c r="E1856" s="316">
        <f>(7.52+3.41*3)*0.7</f>
        <v>12.425000000000001</v>
      </c>
      <c r="F1856" s="522">
        <v>7.84</v>
      </c>
      <c r="G1856" s="349">
        <f t="shared" si="194"/>
        <v>97.41</v>
      </c>
      <c r="H1856" s="690"/>
      <c r="I1856" s="154"/>
      <c r="J1856" s="41"/>
    </row>
    <row r="1857" spans="1:10" x14ac:dyDescent="0.25">
      <c r="A1857" s="583"/>
      <c r="B1857" s="313">
        <v>337</v>
      </c>
      <c r="C1857" s="314" t="s">
        <v>275</v>
      </c>
      <c r="D1857" s="315" t="s">
        <v>271</v>
      </c>
      <c r="E1857" s="560">
        <f>0.02*E1856*2.2</f>
        <v>0.54669999999999996</v>
      </c>
      <c r="F1857" s="317">
        <v>7</v>
      </c>
      <c r="G1857" s="349">
        <f t="shared" si="194"/>
        <v>3.83</v>
      </c>
      <c r="H1857" s="722"/>
      <c r="I1857" s="154"/>
      <c r="J1857" s="41"/>
    </row>
    <row r="1858" spans="1:10" x14ac:dyDescent="0.25">
      <c r="A1858" s="583"/>
      <c r="B1858" s="313">
        <v>1379</v>
      </c>
      <c r="C1858" s="314" t="s">
        <v>522</v>
      </c>
      <c r="D1858" s="315" t="s">
        <v>13</v>
      </c>
      <c r="E1858" s="316">
        <f>0.71*0.7*350</f>
        <v>173.95</v>
      </c>
      <c r="F1858" s="522">
        <v>0.49</v>
      </c>
      <c r="G1858" s="318">
        <f t="shared" si="194"/>
        <v>85.24</v>
      </c>
      <c r="H1858" s="690"/>
      <c r="I1858" s="154"/>
      <c r="J1858" s="41"/>
    </row>
    <row r="1859" spans="1:10" x14ac:dyDescent="0.25">
      <c r="A1859" s="583"/>
      <c r="B1859" s="313">
        <v>370</v>
      </c>
      <c r="C1859" s="314" t="s">
        <v>258</v>
      </c>
      <c r="D1859" s="315" t="s">
        <v>272</v>
      </c>
      <c r="E1859" s="561">
        <f>0.71*0.7*0.78</f>
        <v>0.38766</v>
      </c>
      <c r="F1859" s="317">
        <v>72</v>
      </c>
      <c r="G1859" s="349">
        <f>E1859*F1859</f>
        <v>27.91</v>
      </c>
      <c r="H1859" s="690"/>
      <c r="I1859" s="154"/>
      <c r="J1859" s="41"/>
    </row>
    <row r="1860" spans="1:10" x14ac:dyDescent="0.25">
      <c r="A1860" s="583"/>
      <c r="B1860" s="313">
        <v>4721</v>
      </c>
      <c r="C1860" s="314" t="s">
        <v>284</v>
      </c>
      <c r="D1860" s="315" t="s">
        <v>272</v>
      </c>
      <c r="E1860" s="561">
        <f>0.71*0.7*0.85</f>
        <v>0.42244999999999999</v>
      </c>
      <c r="F1860" s="317">
        <v>85.99</v>
      </c>
      <c r="G1860" s="349">
        <f>E1860*F1860</f>
        <v>36.33</v>
      </c>
      <c r="H1860" s="690"/>
      <c r="I1860" s="154"/>
      <c r="J1860" s="41"/>
    </row>
    <row r="1861" spans="1:10" x14ac:dyDescent="0.25">
      <c r="A1861" s="583"/>
      <c r="B1861" s="313">
        <v>2692</v>
      </c>
      <c r="C1861" s="314" t="s">
        <v>286</v>
      </c>
      <c r="D1861" s="315" t="s">
        <v>280</v>
      </c>
      <c r="E1861" s="316">
        <f>0.12*E1851</f>
        <v>1.2</v>
      </c>
      <c r="F1861" s="317">
        <v>9.16</v>
      </c>
      <c r="G1861" s="349">
        <f>F1861*E1861</f>
        <v>10.99</v>
      </c>
      <c r="H1861" s="690"/>
      <c r="I1861" s="154"/>
      <c r="J1861" s="41"/>
    </row>
    <row r="1862" spans="1:10" x14ac:dyDescent="0.25">
      <c r="A1862" s="583"/>
      <c r="B1862" s="313">
        <v>21108</v>
      </c>
      <c r="C1862" s="314" t="s">
        <v>442</v>
      </c>
      <c r="D1862" s="315" t="s">
        <v>270</v>
      </c>
      <c r="E1862" s="316">
        <f>8.1*E1848</f>
        <v>8.1</v>
      </c>
      <c r="F1862" s="317">
        <v>72.31</v>
      </c>
      <c r="G1862" s="349">
        <f>F1862*E1862</f>
        <v>585.71</v>
      </c>
      <c r="H1862" s="690"/>
      <c r="I1862" s="154"/>
      <c r="J1862" s="41"/>
    </row>
    <row r="1863" spans="1:10" ht="22.5" x14ac:dyDescent="0.25">
      <c r="A1863" s="583"/>
      <c r="B1863" s="313">
        <v>37659</v>
      </c>
      <c r="C1863" s="314" t="s">
        <v>444</v>
      </c>
      <c r="D1863" s="315" t="s">
        <v>271</v>
      </c>
      <c r="E1863" s="316">
        <f>9*E1862</f>
        <v>72.900000000000006</v>
      </c>
      <c r="F1863" s="317">
        <v>1.03</v>
      </c>
      <c r="G1863" s="349">
        <f>F1863*E1863</f>
        <v>75.09</v>
      </c>
      <c r="H1863" s="690"/>
      <c r="I1863" s="154"/>
      <c r="J1863" s="41"/>
    </row>
    <row r="1864" spans="1:10" ht="12" thickBot="1" x14ac:dyDescent="0.3">
      <c r="A1864" s="584"/>
      <c r="B1864" s="489">
        <v>34357</v>
      </c>
      <c r="C1864" s="490" t="s">
        <v>445</v>
      </c>
      <c r="D1864" s="491" t="s">
        <v>271</v>
      </c>
      <c r="E1864" s="562">
        <f>0.5*E1862</f>
        <v>4.05</v>
      </c>
      <c r="F1864" s="355">
        <v>2.48</v>
      </c>
      <c r="G1864" s="495">
        <f>F1864*E1864</f>
        <v>10.039999999999999</v>
      </c>
      <c r="H1864" s="690"/>
      <c r="I1864" s="154"/>
      <c r="J1864" s="41"/>
    </row>
    <row r="1865" spans="1:10" ht="33.75" x14ac:dyDescent="0.25">
      <c r="A1865" s="582" t="s">
        <v>1257</v>
      </c>
      <c r="B1865" s="306" t="s">
        <v>1035</v>
      </c>
      <c r="C1865" s="450" t="s">
        <v>1034</v>
      </c>
      <c r="D1865" s="554" t="s">
        <v>268</v>
      </c>
      <c r="E1865" s="555">
        <v>1</v>
      </c>
      <c r="F1865" s="556">
        <f>SUM(G1866:G1881)/E1865</f>
        <v>1816.28</v>
      </c>
      <c r="G1865" s="557">
        <f t="shared" ref="G1865:G1875" si="195">F1865*E1865</f>
        <v>1816.28</v>
      </c>
      <c r="H1865" s="690"/>
      <c r="I1865" s="154"/>
      <c r="J1865" s="41"/>
    </row>
    <row r="1866" spans="1:10" x14ac:dyDescent="0.25">
      <c r="A1866" s="583"/>
      <c r="B1866" s="461">
        <v>4750</v>
      </c>
      <c r="C1866" s="453" t="s">
        <v>261</v>
      </c>
      <c r="D1866" s="425" t="s">
        <v>257</v>
      </c>
      <c r="E1866" s="558">
        <f>14.969*E1865</f>
        <v>14.968999999999999</v>
      </c>
      <c r="F1866" s="427">
        <v>14.79</v>
      </c>
      <c r="G1866" s="428">
        <f t="shared" si="195"/>
        <v>221.39</v>
      </c>
      <c r="H1866" s="721"/>
      <c r="I1866" s="154"/>
      <c r="J1866" s="41"/>
    </row>
    <row r="1867" spans="1:10" ht="12" thickBot="1" x14ac:dyDescent="0.3">
      <c r="A1867" s="583"/>
      <c r="B1867" s="461">
        <v>6111</v>
      </c>
      <c r="C1867" s="453" t="s">
        <v>274</v>
      </c>
      <c r="D1867" s="425" t="s">
        <v>257</v>
      </c>
      <c r="E1867" s="558">
        <f>14.971*E1865</f>
        <v>14.971</v>
      </c>
      <c r="F1867" s="427">
        <v>10.49</v>
      </c>
      <c r="G1867" s="428">
        <f t="shared" si="195"/>
        <v>157.05000000000001</v>
      </c>
      <c r="H1867" s="652"/>
      <c r="I1867" s="154"/>
      <c r="J1867" s="41"/>
    </row>
    <row r="1868" spans="1:10" ht="22.5" x14ac:dyDescent="0.25">
      <c r="A1868" s="583"/>
      <c r="B1868" s="313">
        <v>1346</v>
      </c>
      <c r="C1868" s="314" t="s">
        <v>1021</v>
      </c>
      <c r="D1868" s="315" t="s">
        <v>270</v>
      </c>
      <c r="E1868" s="316">
        <f>11*E1865</f>
        <v>11</v>
      </c>
      <c r="F1868" s="522">
        <v>19.71</v>
      </c>
      <c r="G1868" s="349">
        <f t="shared" si="195"/>
        <v>216.81</v>
      </c>
      <c r="H1868" s="563" t="s">
        <v>8</v>
      </c>
      <c r="I1868" s="154"/>
      <c r="J1868" s="41"/>
    </row>
    <row r="1869" spans="1:10" ht="22.5" x14ac:dyDescent="0.25">
      <c r="A1869" s="583"/>
      <c r="B1869" s="313">
        <v>4512</v>
      </c>
      <c r="C1869" s="314" t="s">
        <v>288</v>
      </c>
      <c r="D1869" s="315" t="s">
        <v>232</v>
      </c>
      <c r="E1869" s="316">
        <f>4.44*E1868</f>
        <v>48.84</v>
      </c>
      <c r="F1869" s="317">
        <v>0.83</v>
      </c>
      <c r="G1869" s="349">
        <f t="shared" si="195"/>
        <v>40.54</v>
      </c>
      <c r="H1869" s="564">
        <f>(G1866+G1867)/E1865</f>
        <v>378.44</v>
      </c>
      <c r="I1869" s="154"/>
      <c r="J1869" s="41"/>
    </row>
    <row r="1870" spans="1:10" ht="22.5" x14ac:dyDescent="0.25">
      <c r="A1870" s="583"/>
      <c r="B1870" s="313">
        <v>4491</v>
      </c>
      <c r="C1870" s="314" t="s">
        <v>287</v>
      </c>
      <c r="D1870" s="315" t="s">
        <v>232</v>
      </c>
      <c r="E1870" s="316">
        <f>2.52*E1868</f>
        <v>27.72</v>
      </c>
      <c r="F1870" s="317">
        <v>2.61</v>
      </c>
      <c r="G1870" s="349">
        <f t="shared" si="195"/>
        <v>72.349999999999994</v>
      </c>
      <c r="H1870" s="804" t="s">
        <v>9</v>
      </c>
      <c r="I1870" s="154"/>
      <c r="J1870" s="41"/>
    </row>
    <row r="1871" spans="1:10" ht="12" thickBot="1" x14ac:dyDescent="0.3">
      <c r="A1871" s="583"/>
      <c r="B1871" s="313">
        <v>5061</v>
      </c>
      <c r="C1871" s="314" t="s">
        <v>277</v>
      </c>
      <c r="D1871" s="315" t="s">
        <v>271</v>
      </c>
      <c r="E1871" s="316">
        <f>0.17*E1868</f>
        <v>1.87</v>
      </c>
      <c r="F1871" s="317">
        <v>7.75</v>
      </c>
      <c r="G1871" s="349">
        <f t="shared" si="195"/>
        <v>14.49</v>
      </c>
      <c r="H1871" s="756">
        <f>F1865-H1869</f>
        <v>1437.84</v>
      </c>
      <c r="I1871" s="154"/>
      <c r="J1871" s="41"/>
    </row>
    <row r="1872" spans="1:10" x14ac:dyDescent="0.25">
      <c r="A1872" s="583"/>
      <c r="B1872" s="313">
        <v>5066</v>
      </c>
      <c r="C1872" s="314" t="s">
        <v>1335</v>
      </c>
      <c r="D1872" s="315" t="s">
        <v>13</v>
      </c>
      <c r="E1872" s="316">
        <f>0.17*E1868</f>
        <v>1.87</v>
      </c>
      <c r="F1872" s="522">
        <v>9.68</v>
      </c>
      <c r="G1872" s="349">
        <f t="shared" si="195"/>
        <v>18.100000000000001</v>
      </c>
      <c r="H1872" s="690"/>
      <c r="I1872" s="154"/>
      <c r="J1872" s="41"/>
    </row>
    <row r="1873" spans="1:10" ht="22.5" x14ac:dyDescent="0.25">
      <c r="A1873" s="583"/>
      <c r="B1873" s="313">
        <v>7155</v>
      </c>
      <c r="C1873" s="314" t="s">
        <v>521</v>
      </c>
      <c r="D1873" s="315" t="s">
        <v>270</v>
      </c>
      <c r="E1873" s="316">
        <f>(7.62+2.94*4)*0.7</f>
        <v>13.566000000000001</v>
      </c>
      <c r="F1873" s="522">
        <v>7.84</v>
      </c>
      <c r="G1873" s="349">
        <f t="shared" si="195"/>
        <v>106.36</v>
      </c>
      <c r="H1873" s="690"/>
      <c r="I1873" s="154"/>
      <c r="J1873" s="41"/>
    </row>
    <row r="1874" spans="1:10" x14ac:dyDescent="0.25">
      <c r="A1874" s="583"/>
      <c r="B1874" s="313">
        <v>337</v>
      </c>
      <c r="C1874" s="314" t="s">
        <v>275</v>
      </c>
      <c r="D1874" s="315" t="s">
        <v>271</v>
      </c>
      <c r="E1874" s="560">
        <f>0.02*E1873*2.2</f>
        <v>0.59690399999999999</v>
      </c>
      <c r="F1874" s="317">
        <v>7</v>
      </c>
      <c r="G1874" s="349">
        <f t="shared" si="195"/>
        <v>4.18</v>
      </c>
      <c r="H1874" s="722"/>
      <c r="I1874" s="154"/>
      <c r="J1874" s="41"/>
    </row>
    <row r="1875" spans="1:10" x14ac:dyDescent="0.25">
      <c r="A1875" s="583"/>
      <c r="B1875" s="313">
        <v>1379</v>
      </c>
      <c r="C1875" s="314" t="s">
        <v>522</v>
      </c>
      <c r="D1875" s="315" t="s">
        <v>13</v>
      </c>
      <c r="E1875" s="316">
        <v>195</v>
      </c>
      <c r="F1875" s="522">
        <v>0.49</v>
      </c>
      <c r="G1875" s="318">
        <f t="shared" si="195"/>
        <v>95.55</v>
      </c>
      <c r="H1875" s="690"/>
      <c r="I1875" s="154"/>
      <c r="J1875" s="41"/>
    </row>
    <row r="1876" spans="1:10" x14ac:dyDescent="0.25">
      <c r="A1876" s="583"/>
      <c r="B1876" s="313">
        <v>370</v>
      </c>
      <c r="C1876" s="314" t="s">
        <v>258</v>
      </c>
      <c r="D1876" s="315" t="s">
        <v>272</v>
      </c>
      <c r="E1876" s="561">
        <f>0.78*0.7*0.78</f>
        <v>0.42587999999999998</v>
      </c>
      <c r="F1876" s="317">
        <v>72</v>
      </c>
      <c r="G1876" s="349">
        <f>E1876*F1876</f>
        <v>30.66</v>
      </c>
      <c r="H1876" s="690"/>
      <c r="I1876" s="154"/>
      <c r="J1876" s="41"/>
    </row>
    <row r="1877" spans="1:10" x14ac:dyDescent="0.25">
      <c r="A1877" s="583"/>
      <c r="B1877" s="313">
        <v>4721</v>
      </c>
      <c r="C1877" s="314" t="s">
        <v>284</v>
      </c>
      <c r="D1877" s="315" t="s">
        <v>272</v>
      </c>
      <c r="E1877" s="561">
        <f>0.78*0.7*0.85</f>
        <v>0.46410000000000001</v>
      </c>
      <c r="F1877" s="317">
        <v>85.99</v>
      </c>
      <c r="G1877" s="349">
        <f>E1877*F1877</f>
        <v>39.909999999999997</v>
      </c>
      <c r="H1877" s="690"/>
      <c r="I1877" s="154"/>
      <c r="J1877" s="41"/>
    </row>
    <row r="1878" spans="1:10" x14ac:dyDescent="0.25">
      <c r="A1878" s="583"/>
      <c r="B1878" s="313">
        <v>2692</v>
      </c>
      <c r="C1878" s="314" t="s">
        <v>286</v>
      </c>
      <c r="D1878" s="315" t="s">
        <v>280</v>
      </c>
      <c r="E1878" s="316">
        <f>0.12*E1868</f>
        <v>1.32</v>
      </c>
      <c r="F1878" s="317">
        <v>9.16</v>
      </c>
      <c r="G1878" s="349">
        <f>F1878*E1878</f>
        <v>12.09</v>
      </c>
      <c r="H1878" s="690"/>
      <c r="I1878" s="154"/>
      <c r="J1878" s="41"/>
    </row>
    <row r="1879" spans="1:10" x14ac:dyDescent="0.25">
      <c r="A1879" s="583"/>
      <c r="B1879" s="313">
        <v>21108</v>
      </c>
      <c r="C1879" s="314" t="s">
        <v>442</v>
      </c>
      <c r="D1879" s="315" t="s">
        <v>270</v>
      </c>
      <c r="E1879" s="316">
        <f>9.5*E1865</f>
        <v>9.5</v>
      </c>
      <c r="F1879" s="317">
        <v>72.31</v>
      </c>
      <c r="G1879" s="349">
        <f>F1879*E1879</f>
        <v>686.95</v>
      </c>
      <c r="H1879" s="690"/>
      <c r="I1879" s="154"/>
      <c r="J1879" s="41"/>
    </row>
    <row r="1880" spans="1:10" ht="22.5" x14ac:dyDescent="0.25">
      <c r="A1880" s="583"/>
      <c r="B1880" s="313">
        <v>37659</v>
      </c>
      <c r="C1880" s="314" t="s">
        <v>444</v>
      </c>
      <c r="D1880" s="315" t="s">
        <v>271</v>
      </c>
      <c r="E1880" s="316">
        <f>9*E1879</f>
        <v>85.5</v>
      </c>
      <c r="F1880" s="317">
        <v>1.03</v>
      </c>
      <c r="G1880" s="349">
        <f>F1880*E1880</f>
        <v>88.07</v>
      </c>
      <c r="H1880" s="690"/>
      <c r="I1880" s="154"/>
      <c r="J1880" s="41"/>
    </row>
    <row r="1881" spans="1:10" ht="12" thickBot="1" x14ac:dyDescent="0.3">
      <c r="A1881" s="584"/>
      <c r="B1881" s="489">
        <v>34357</v>
      </c>
      <c r="C1881" s="490" t="s">
        <v>445</v>
      </c>
      <c r="D1881" s="491" t="s">
        <v>271</v>
      </c>
      <c r="E1881" s="562">
        <f>0.5*E1879</f>
        <v>4.75</v>
      </c>
      <c r="F1881" s="355">
        <v>2.48</v>
      </c>
      <c r="G1881" s="495">
        <f>F1881*E1881</f>
        <v>11.78</v>
      </c>
      <c r="H1881" s="690"/>
      <c r="I1881" s="154"/>
      <c r="J1881" s="41"/>
    </row>
    <row r="1882" spans="1:10" ht="33.75" x14ac:dyDescent="0.25">
      <c r="A1882" s="582" t="s">
        <v>1258</v>
      </c>
      <c r="B1882" s="306" t="s">
        <v>1037</v>
      </c>
      <c r="C1882" s="450" t="s">
        <v>1036</v>
      </c>
      <c r="D1882" s="554" t="s">
        <v>268</v>
      </c>
      <c r="E1882" s="555">
        <v>1</v>
      </c>
      <c r="F1882" s="556">
        <f>SUM(G1883:G1898)/E1882</f>
        <v>1089.78</v>
      </c>
      <c r="G1882" s="557">
        <f t="shared" ref="G1882:G1892" si="196">F1882*E1882</f>
        <v>1089.78</v>
      </c>
      <c r="H1882" s="690"/>
      <c r="I1882" s="154"/>
      <c r="J1882" s="41"/>
    </row>
    <row r="1883" spans="1:10" x14ac:dyDescent="0.25">
      <c r="A1883" s="583"/>
      <c r="B1883" s="461">
        <v>4750</v>
      </c>
      <c r="C1883" s="453" t="s">
        <v>261</v>
      </c>
      <c r="D1883" s="425" t="s">
        <v>257</v>
      </c>
      <c r="E1883" s="558">
        <f>9.912*E1882</f>
        <v>9.9120000000000008</v>
      </c>
      <c r="F1883" s="427">
        <v>14.79</v>
      </c>
      <c r="G1883" s="428">
        <f t="shared" si="196"/>
        <v>146.6</v>
      </c>
      <c r="H1883" s="721"/>
      <c r="I1883" s="154"/>
      <c r="J1883" s="41"/>
    </row>
    <row r="1884" spans="1:10" ht="12" thickBot="1" x14ac:dyDescent="0.3">
      <c r="A1884" s="583"/>
      <c r="B1884" s="461">
        <v>6111</v>
      </c>
      <c r="C1884" s="453" t="s">
        <v>274</v>
      </c>
      <c r="D1884" s="425" t="s">
        <v>257</v>
      </c>
      <c r="E1884" s="558">
        <f>9.912*E1882</f>
        <v>9.9120000000000008</v>
      </c>
      <c r="F1884" s="427">
        <v>10.49</v>
      </c>
      <c r="G1884" s="428">
        <f t="shared" si="196"/>
        <v>103.98</v>
      </c>
      <c r="H1884" s="652"/>
      <c r="I1884" s="154"/>
      <c r="J1884" s="41"/>
    </row>
    <row r="1885" spans="1:10" ht="22.5" x14ac:dyDescent="0.25">
      <c r="A1885" s="583"/>
      <c r="B1885" s="313">
        <v>1346</v>
      </c>
      <c r="C1885" s="314" t="s">
        <v>1021</v>
      </c>
      <c r="D1885" s="315" t="s">
        <v>270</v>
      </c>
      <c r="E1885" s="316">
        <f>7*E1882</f>
        <v>7</v>
      </c>
      <c r="F1885" s="522">
        <v>19.71</v>
      </c>
      <c r="G1885" s="349">
        <f t="shared" si="196"/>
        <v>137.97</v>
      </c>
      <c r="H1885" s="563" t="s">
        <v>8</v>
      </c>
      <c r="I1885" s="154"/>
      <c r="J1885" s="41"/>
    </row>
    <row r="1886" spans="1:10" ht="22.5" x14ac:dyDescent="0.25">
      <c r="A1886" s="583"/>
      <c r="B1886" s="313">
        <v>4512</v>
      </c>
      <c r="C1886" s="314" t="s">
        <v>288</v>
      </c>
      <c r="D1886" s="315" t="s">
        <v>232</v>
      </c>
      <c r="E1886" s="316">
        <f>4.44*E1885</f>
        <v>31.08</v>
      </c>
      <c r="F1886" s="317">
        <v>0.83</v>
      </c>
      <c r="G1886" s="349">
        <f t="shared" si="196"/>
        <v>25.8</v>
      </c>
      <c r="H1886" s="564">
        <f>(G1883+G1884)/E1882</f>
        <v>250.58</v>
      </c>
      <c r="I1886" s="154"/>
      <c r="J1886" s="41"/>
    </row>
    <row r="1887" spans="1:10" ht="22.5" x14ac:dyDescent="0.25">
      <c r="A1887" s="583"/>
      <c r="B1887" s="313">
        <v>4491</v>
      </c>
      <c r="C1887" s="314" t="s">
        <v>287</v>
      </c>
      <c r="D1887" s="315" t="s">
        <v>232</v>
      </c>
      <c r="E1887" s="316">
        <f>2.52*E1885</f>
        <v>17.64</v>
      </c>
      <c r="F1887" s="317">
        <v>2.61</v>
      </c>
      <c r="G1887" s="349">
        <f t="shared" si="196"/>
        <v>46.04</v>
      </c>
      <c r="H1887" s="804" t="s">
        <v>9</v>
      </c>
      <c r="I1887" s="154"/>
      <c r="J1887" s="41"/>
    </row>
    <row r="1888" spans="1:10" ht="12" thickBot="1" x14ac:dyDescent="0.3">
      <c r="A1888" s="583"/>
      <c r="B1888" s="313">
        <v>5061</v>
      </c>
      <c r="C1888" s="314" t="s">
        <v>277</v>
      </c>
      <c r="D1888" s="315" t="s">
        <v>271</v>
      </c>
      <c r="E1888" s="316">
        <f>0.17*E1885</f>
        <v>1.19</v>
      </c>
      <c r="F1888" s="317">
        <v>7.75</v>
      </c>
      <c r="G1888" s="349">
        <f t="shared" si="196"/>
        <v>9.2200000000000006</v>
      </c>
      <c r="H1888" s="756">
        <f>F1882-H1886</f>
        <v>839.2</v>
      </c>
      <c r="I1888" s="154"/>
      <c r="J1888" s="41"/>
    </row>
    <row r="1889" spans="1:10" x14ac:dyDescent="0.25">
      <c r="A1889" s="583"/>
      <c r="B1889" s="313">
        <v>5066</v>
      </c>
      <c r="C1889" s="314" t="s">
        <v>1337</v>
      </c>
      <c r="D1889" s="315" t="s">
        <v>13</v>
      </c>
      <c r="E1889" s="316">
        <f>0.17*E1885</f>
        <v>1.19</v>
      </c>
      <c r="F1889" s="522">
        <v>9.68</v>
      </c>
      <c r="G1889" s="349">
        <f t="shared" si="196"/>
        <v>11.52</v>
      </c>
      <c r="H1889" s="690"/>
      <c r="I1889" s="154"/>
      <c r="J1889" s="41"/>
    </row>
    <row r="1890" spans="1:10" ht="22.5" x14ac:dyDescent="0.25">
      <c r="A1890" s="583"/>
      <c r="B1890" s="313">
        <v>7155</v>
      </c>
      <c r="C1890" s="314" t="s">
        <v>521</v>
      </c>
      <c r="D1890" s="315" t="s">
        <v>270</v>
      </c>
      <c r="E1890" s="316">
        <f>(5.39+3.34*2)*0.7</f>
        <v>8.4489999999999998</v>
      </c>
      <c r="F1890" s="522">
        <v>7.84</v>
      </c>
      <c r="G1890" s="349">
        <f t="shared" si="196"/>
        <v>66.239999999999995</v>
      </c>
      <c r="H1890" s="690"/>
      <c r="I1890" s="154"/>
      <c r="J1890" s="41"/>
    </row>
    <row r="1891" spans="1:10" x14ac:dyDescent="0.25">
      <c r="A1891" s="583"/>
      <c r="B1891" s="313">
        <v>337</v>
      </c>
      <c r="C1891" s="314" t="s">
        <v>275</v>
      </c>
      <c r="D1891" s="315" t="s">
        <v>271</v>
      </c>
      <c r="E1891" s="560">
        <f>0.02*E1890*2.2</f>
        <v>0.37175599999999998</v>
      </c>
      <c r="F1891" s="317">
        <v>7</v>
      </c>
      <c r="G1891" s="349">
        <f t="shared" si="196"/>
        <v>2.6</v>
      </c>
      <c r="H1891" s="722"/>
      <c r="I1891" s="154"/>
      <c r="J1891" s="41"/>
    </row>
    <row r="1892" spans="1:10" x14ac:dyDescent="0.25">
      <c r="A1892" s="583"/>
      <c r="B1892" s="313">
        <v>1379</v>
      </c>
      <c r="C1892" s="314" t="s">
        <v>522</v>
      </c>
      <c r="D1892" s="315" t="s">
        <v>13</v>
      </c>
      <c r="E1892" s="316">
        <f>0.48*0.7*350</f>
        <v>117.6</v>
      </c>
      <c r="F1892" s="522">
        <v>0.49</v>
      </c>
      <c r="G1892" s="318">
        <f t="shared" si="196"/>
        <v>57.62</v>
      </c>
      <c r="H1892" s="690"/>
      <c r="I1892" s="154"/>
      <c r="J1892" s="41"/>
    </row>
    <row r="1893" spans="1:10" x14ac:dyDescent="0.25">
      <c r="A1893" s="583"/>
      <c r="B1893" s="313">
        <v>370</v>
      </c>
      <c r="C1893" s="314" t="s">
        <v>258</v>
      </c>
      <c r="D1893" s="315" t="s">
        <v>272</v>
      </c>
      <c r="E1893" s="561">
        <f>0.48*0.7*0.78</f>
        <v>0.26207999999999998</v>
      </c>
      <c r="F1893" s="317">
        <v>72</v>
      </c>
      <c r="G1893" s="349">
        <f>E1893*F1893</f>
        <v>18.87</v>
      </c>
      <c r="H1893" s="690"/>
      <c r="I1893" s="154"/>
      <c r="J1893" s="41"/>
    </row>
    <row r="1894" spans="1:10" x14ac:dyDescent="0.25">
      <c r="A1894" s="583"/>
      <c r="B1894" s="313">
        <v>4721</v>
      </c>
      <c r="C1894" s="314" t="s">
        <v>284</v>
      </c>
      <c r="D1894" s="315" t="s">
        <v>272</v>
      </c>
      <c r="E1894" s="561">
        <f>0.48*0.7*0.85</f>
        <v>0.28560000000000002</v>
      </c>
      <c r="F1894" s="317">
        <v>85.99</v>
      </c>
      <c r="G1894" s="349">
        <f>E1894*F1894</f>
        <v>24.56</v>
      </c>
      <c r="H1894" s="690"/>
      <c r="I1894" s="154"/>
      <c r="J1894" s="41"/>
    </row>
    <row r="1895" spans="1:10" x14ac:dyDescent="0.25">
      <c r="A1895" s="583"/>
      <c r="B1895" s="313">
        <v>2692</v>
      </c>
      <c r="C1895" s="314" t="s">
        <v>286</v>
      </c>
      <c r="D1895" s="315" t="s">
        <v>280</v>
      </c>
      <c r="E1895" s="316">
        <f>0.12*E1885</f>
        <v>0.84</v>
      </c>
      <c r="F1895" s="317">
        <v>9.16</v>
      </c>
      <c r="G1895" s="349">
        <f>F1895*E1895</f>
        <v>7.69</v>
      </c>
      <c r="H1895" s="690"/>
      <c r="I1895" s="154"/>
      <c r="J1895" s="41"/>
    </row>
    <row r="1896" spans="1:10" x14ac:dyDescent="0.25">
      <c r="A1896" s="583"/>
      <c r="B1896" s="313">
        <v>21108</v>
      </c>
      <c r="C1896" s="314" t="s">
        <v>442</v>
      </c>
      <c r="D1896" s="315" t="s">
        <v>270</v>
      </c>
      <c r="E1896" s="316">
        <f>(3.87+0.72*4)*0.7+0.48</f>
        <v>5.2050000000000001</v>
      </c>
      <c r="F1896" s="317">
        <v>72.31</v>
      </c>
      <c r="G1896" s="349">
        <f>F1896*E1896</f>
        <v>376.37</v>
      </c>
      <c r="H1896" s="690"/>
      <c r="I1896" s="154"/>
      <c r="J1896" s="41"/>
    </row>
    <row r="1897" spans="1:10" ht="22.5" x14ac:dyDescent="0.25">
      <c r="A1897" s="583"/>
      <c r="B1897" s="313">
        <v>37659</v>
      </c>
      <c r="C1897" s="314" t="s">
        <v>444</v>
      </c>
      <c r="D1897" s="315" t="s">
        <v>271</v>
      </c>
      <c r="E1897" s="316">
        <f>9*E1896</f>
        <v>46.844999999999999</v>
      </c>
      <c r="F1897" s="317">
        <v>1.03</v>
      </c>
      <c r="G1897" s="349">
        <f>F1897*E1897</f>
        <v>48.25</v>
      </c>
      <c r="H1897" s="690"/>
      <c r="I1897" s="154"/>
      <c r="J1897" s="41"/>
    </row>
    <row r="1898" spans="1:10" ht="12" thickBot="1" x14ac:dyDescent="0.3">
      <c r="A1898" s="584"/>
      <c r="B1898" s="489">
        <v>34357</v>
      </c>
      <c r="C1898" s="490" t="s">
        <v>445</v>
      </c>
      <c r="D1898" s="491" t="s">
        <v>271</v>
      </c>
      <c r="E1898" s="562">
        <f>0.5*E1896</f>
        <v>2.6025</v>
      </c>
      <c r="F1898" s="355">
        <v>2.48</v>
      </c>
      <c r="G1898" s="495">
        <f>F1898*E1898</f>
        <v>6.45</v>
      </c>
      <c r="H1898" s="690"/>
      <c r="I1898" s="154"/>
      <c r="J1898" s="41"/>
    </row>
    <row r="1899" spans="1:10" ht="33.75" x14ac:dyDescent="0.25">
      <c r="A1899" s="582" t="s">
        <v>1259</v>
      </c>
      <c r="B1899" s="306" t="s">
        <v>1039</v>
      </c>
      <c r="C1899" s="450" t="s">
        <v>1038</v>
      </c>
      <c r="D1899" s="554" t="s">
        <v>268</v>
      </c>
      <c r="E1899" s="555">
        <v>1</v>
      </c>
      <c r="F1899" s="556">
        <f>SUM(G1900:G1915)/E1899</f>
        <v>4444.22</v>
      </c>
      <c r="G1899" s="557">
        <f t="shared" ref="G1899:G1909" si="197">F1899*E1899</f>
        <v>4444.22</v>
      </c>
      <c r="H1899" s="690"/>
      <c r="I1899" s="154"/>
      <c r="J1899" s="41"/>
    </row>
    <row r="1900" spans="1:10" x14ac:dyDescent="0.25">
      <c r="A1900" s="583"/>
      <c r="B1900" s="461">
        <v>4750</v>
      </c>
      <c r="C1900" s="453" t="s">
        <v>261</v>
      </c>
      <c r="D1900" s="425" t="s">
        <v>257</v>
      </c>
      <c r="E1900" s="558">
        <f>44.837*E1899</f>
        <v>44.837000000000003</v>
      </c>
      <c r="F1900" s="427">
        <v>14.79</v>
      </c>
      <c r="G1900" s="428">
        <f t="shared" si="197"/>
        <v>663.14</v>
      </c>
      <c r="H1900" s="721"/>
      <c r="I1900" s="154"/>
      <c r="J1900" s="41"/>
    </row>
    <row r="1901" spans="1:10" ht="12" thickBot="1" x14ac:dyDescent="0.3">
      <c r="A1901" s="583"/>
      <c r="B1901" s="461">
        <v>6111</v>
      </c>
      <c r="C1901" s="453" t="s">
        <v>274</v>
      </c>
      <c r="D1901" s="425" t="s">
        <v>257</v>
      </c>
      <c r="E1901" s="558">
        <f>44.838*E1899</f>
        <v>44.838000000000001</v>
      </c>
      <c r="F1901" s="427">
        <v>10.49</v>
      </c>
      <c r="G1901" s="428">
        <f t="shared" si="197"/>
        <v>470.35</v>
      </c>
      <c r="H1901" s="652"/>
      <c r="I1901" s="154"/>
      <c r="J1901" s="41"/>
    </row>
    <row r="1902" spans="1:10" ht="22.5" x14ac:dyDescent="0.25">
      <c r="A1902" s="583"/>
      <c r="B1902" s="313">
        <v>1346</v>
      </c>
      <c r="C1902" s="314" t="s">
        <v>1340</v>
      </c>
      <c r="D1902" s="315" t="s">
        <v>270</v>
      </c>
      <c r="E1902" s="316">
        <f>28.4*E1899</f>
        <v>28.4</v>
      </c>
      <c r="F1902" s="522">
        <v>19.71</v>
      </c>
      <c r="G1902" s="349">
        <f t="shared" si="197"/>
        <v>559.76</v>
      </c>
      <c r="H1902" s="563" t="s">
        <v>8</v>
      </c>
      <c r="I1902" s="154"/>
      <c r="J1902" s="41"/>
    </row>
    <row r="1903" spans="1:10" ht="22.5" x14ac:dyDescent="0.25">
      <c r="A1903" s="583"/>
      <c r="B1903" s="313">
        <v>4512</v>
      </c>
      <c r="C1903" s="314" t="s">
        <v>288</v>
      </c>
      <c r="D1903" s="315" t="s">
        <v>232</v>
      </c>
      <c r="E1903" s="316">
        <f>4.44*E1902</f>
        <v>126.096</v>
      </c>
      <c r="F1903" s="317">
        <v>0.83</v>
      </c>
      <c r="G1903" s="349">
        <f t="shared" si="197"/>
        <v>104.66</v>
      </c>
      <c r="H1903" s="564">
        <f>(G1900+G1901)/E1899</f>
        <v>1133.49</v>
      </c>
      <c r="I1903" s="154"/>
      <c r="J1903" s="41"/>
    </row>
    <row r="1904" spans="1:10" ht="22.5" x14ac:dyDescent="0.25">
      <c r="A1904" s="583"/>
      <c r="B1904" s="313">
        <v>4491</v>
      </c>
      <c r="C1904" s="314" t="s">
        <v>287</v>
      </c>
      <c r="D1904" s="315" t="s">
        <v>232</v>
      </c>
      <c r="E1904" s="316">
        <f>2.52*E1902</f>
        <v>71.567999999999998</v>
      </c>
      <c r="F1904" s="317">
        <v>2.61</v>
      </c>
      <c r="G1904" s="349">
        <f t="shared" si="197"/>
        <v>186.79</v>
      </c>
      <c r="H1904" s="804" t="s">
        <v>9</v>
      </c>
      <c r="I1904" s="154"/>
      <c r="J1904" s="41"/>
    </row>
    <row r="1905" spans="1:10" ht="12" thickBot="1" x14ac:dyDescent="0.3">
      <c r="A1905" s="583"/>
      <c r="B1905" s="313">
        <v>5061</v>
      </c>
      <c r="C1905" s="314" t="s">
        <v>277</v>
      </c>
      <c r="D1905" s="315" t="s">
        <v>271</v>
      </c>
      <c r="E1905" s="316">
        <f>0.17*E1902</f>
        <v>4.8280000000000003</v>
      </c>
      <c r="F1905" s="317">
        <v>7.75</v>
      </c>
      <c r="G1905" s="349">
        <f t="shared" si="197"/>
        <v>37.42</v>
      </c>
      <c r="H1905" s="756">
        <f>F1899-H1903</f>
        <v>3310.73</v>
      </c>
      <c r="I1905" s="154"/>
      <c r="J1905" s="41"/>
    </row>
    <row r="1906" spans="1:10" x14ac:dyDescent="0.25">
      <c r="A1906" s="583"/>
      <c r="B1906" s="313">
        <v>5066</v>
      </c>
      <c r="C1906" s="314" t="s">
        <v>1337</v>
      </c>
      <c r="D1906" s="315" t="s">
        <v>13</v>
      </c>
      <c r="E1906" s="316">
        <f>0.17*E1902</f>
        <v>4.8280000000000003</v>
      </c>
      <c r="F1906" s="522">
        <v>9.68</v>
      </c>
      <c r="G1906" s="349">
        <f t="shared" si="197"/>
        <v>46.74</v>
      </c>
      <c r="H1906" s="690"/>
      <c r="I1906" s="154"/>
      <c r="J1906" s="41"/>
    </row>
    <row r="1907" spans="1:10" ht="22.5" x14ac:dyDescent="0.25">
      <c r="A1907" s="583"/>
      <c r="B1907" s="313">
        <v>7155</v>
      </c>
      <c r="C1907" s="314" t="s">
        <v>521</v>
      </c>
      <c r="D1907" s="315" t="s">
        <v>270</v>
      </c>
      <c r="E1907" s="316">
        <f>(7.37*3+3.36*9)*0.7*1.1</f>
        <v>40.3095</v>
      </c>
      <c r="F1907" s="522">
        <v>7.84</v>
      </c>
      <c r="G1907" s="349">
        <f t="shared" si="197"/>
        <v>316.02999999999997</v>
      </c>
      <c r="H1907" s="690"/>
      <c r="I1907" s="154"/>
      <c r="J1907" s="41"/>
    </row>
    <row r="1908" spans="1:10" x14ac:dyDescent="0.25">
      <c r="A1908" s="583"/>
      <c r="B1908" s="313">
        <v>337</v>
      </c>
      <c r="C1908" s="314" t="s">
        <v>275</v>
      </c>
      <c r="D1908" s="315" t="s">
        <v>271</v>
      </c>
      <c r="E1908" s="560">
        <f>0.02*E1907*2.2</f>
        <v>1.7736179999999999</v>
      </c>
      <c r="F1908" s="317">
        <v>7</v>
      </c>
      <c r="G1908" s="349">
        <f t="shared" si="197"/>
        <v>12.42</v>
      </c>
      <c r="H1908" s="722"/>
      <c r="I1908" s="154"/>
      <c r="J1908" s="41"/>
    </row>
    <row r="1909" spans="1:10" x14ac:dyDescent="0.25">
      <c r="A1909" s="583"/>
      <c r="B1909" s="313">
        <v>1379</v>
      </c>
      <c r="C1909" s="314" t="s">
        <v>522</v>
      </c>
      <c r="D1909" s="315" t="s">
        <v>13</v>
      </c>
      <c r="E1909" s="316">
        <f>0.7*0.7*3*350</f>
        <v>514.5</v>
      </c>
      <c r="F1909" s="522">
        <v>0.49</v>
      </c>
      <c r="G1909" s="318">
        <f t="shared" si="197"/>
        <v>252.11</v>
      </c>
      <c r="H1909" s="690"/>
      <c r="I1909" s="154"/>
      <c r="J1909" s="41"/>
    </row>
    <row r="1910" spans="1:10" x14ac:dyDescent="0.25">
      <c r="A1910" s="583"/>
      <c r="B1910" s="313">
        <v>370</v>
      </c>
      <c r="C1910" s="314" t="s">
        <v>258</v>
      </c>
      <c r="D1910" s="315" t="s">
        <v>272</v>
      </c>
      <c r="E1910" s="561">
        <f>0.7*0.7*3*0.78</f>
        <v>1.1466000000000001</v>
      </c>
      <c r="F1910" s="317">
        <v>72</v>
      </c>
      <c r="G1910" s="349">
        <f>E1910*F1910</f>
        <v>82.56</v>
      </c>
      <c r="H1910" s="690"/>
      <c r="I1910" s="154"/>
      <c r="J1910" s="41"/>
    </row>
    <row r="1911" spans="1:10" x14ac:dyDescent="0.25">
      <c r="A1911" s="583"/>
      <c r="B1911" s="313">
        <v>4721</v>
      </c>
      <c r="C1911" s="314" t="s">
        <v>284</v>
      </c>
      <c r="D1911" s="315" t="s">
        <v>272</v>
      </c>
      <c r="E1911" s="561">
        <f>0.7*0.7*3*0.85</f>
        <v>1.2495000000000001</v>
      </c>
      <c r="F1911" s="317">
        <v>85.99</v>
      </c>
      <c r="G1911" s="349">
        <f>E1911*F1911</f>
        <v>107.44</v>
      </c>
      <c r="H1911" s="690"/>
      <c r="I1911" s="154"/>
      <c r="J1911" s="41"/>
    </row>
    <row r="1912" spans="1:10" x14ac:dyDescent="0.25">
      <c r="A1912" s="583"/>
      <c r="B1912" s="313">
        <v>2692</v>
      </c>
      <c r="C1912" s="314" t="s">
        <v>286</v>
      </c>
      <c r="D1912" s="315" t="s">
        <v>280</v>
      </c>
      <c r="E1912" s="316">
        <f>0.12*E1902</f>
        <v>3.4079999999999999</v>
      </c>
      <c r="F1912" s="317">
        <v>9.16</v>
      </c>
      <c r="G1912" s="349">
        <f>F1912*E1912</f>
        <v>31.22</v>
      </c>
      <c r="H1912" s="690"/>
      <c r="I1912" s="154"/>
      <c r="J1912" s="41"/>
    </row>
    <row r="1913" spans="1:10" x14ac:dyDescent="0.25">
      <c r="A1913" s="583"/>
      <c r="B1913" s="313">
        <v>21108</v>
      </c>
      <c r="C1913" s="314" t="s">
        <v>442</v>
      </c>
      <c r="D1913" s="315" t="s">
        <v>270</v>
      </c>
      <c r="E1913" s="316">
        <f>19*E1899</f>
        <v>19</v>
      </c>
      <c r="F1913" s="317">
        <v>72.31</v>
      </c>
      <c r="G1913" s="349">
        <f>F1913*E1913</f>
        <v>1373.89</v>
      </c>
      <c r="H1913" s="690"/>
      <c r="I1913" s="154"/>
      <c r="J1913" s="41"/>
    </row>
    <row r="1914" spans="1:10" ht="22.5" x14ac:dyDescent="0.25">
      <c r="A1914" s="583"/>
      <c r="B1914" s="313">
        <v>37659</v>
      </c>
      <c r="C1914" s="314" t="s">
        <v>444</v>
      </c>
      <c r="D1914" s="315" t="s">
        <v>271</v>
      </c>
      <c r="E1914" s="316">
        <f>9*E1913</f>
        <v>171</v>
      </c>
      <c r="F1914" s="317">
        <v>1.03</v>
      </c>
      <c r="G1914" s="349">
        <f>F1914*E1914</f>
        <v>176.13</v>
      </c>
      <c r="H1914" s="690"/>
      <c r="I1914" s="154"/>
      <c r="J1914" s="41"/>
    </row>
    <row r="1915" spans="1:10" ht="12" thickBot="1" x14ac:dyDescent="0.3">
      <c r="A1915" s="584"/>
      <c r="B1915" s="489">
        <v>34357</v>
      </c>
      <c r="C1915" s="490" t="s">
        <v>445</v>
      </c>
      <c r="D1915" s="491" t="s">
        <v>271</v>
      </c>
      <c r="E1915" s="562">
        <f>0.5*E1913</f>
        <v>9.5</v>
      </c>
      <c r="F1915" s="355">
        <v>2.48</v>
      </c>
      <c r="G1915" s="495">
        <f>F1915*E1915</f>
        <v>23.56</v>
      </c>
      <c r="H1915" s="690"/>
      <c r="I1915" s="154"/>
      <c r="J1915" s="41"/>
    </row>
    <row r="1916" spans="1:10" ht="33.75" x14ac:dyDescent="0.25">
      <c r="A1916" s="582" t="s">
        <v>1260</v>
      </c>
      <c r="B1916" s="306" t="s">
        <v>1041</v>
      </c>
      <c r="C1916" s="450" t="s">
        <v>1040</v>
      </c>
      <c r="D1916" s="554" t="s">
        <v>268</v>
      </c>
      <c r="E1916" s="555">
        <v>1</v>
      </c>
      <c r="F1916" s="556">
        <f>SUM(G1917:G1932)/E1916</f>
        <v>3702.33</v>
      </c>
      <c r="G1916" s="557">
        <f t="shared" ref="G1916:G1926" si="198">F1916*E1916</f>
        <v>3702.33</v>
      </c>
      <c r="H1916" s="690"/>
      <c r="I1916" s="154"/>
      <c r="J1916" s="41"/>
    </row>
    <row r="1917" spans="1:10" x14ac:dyDescent="0.25">
      <c r="A1917" s="583"/>
      <c r="B1917" s="461">
        <v>4750</v>
      </c>
      <c r="C1917" s="453" t="s">
        <v>261</v>
      </c>
      <c r="D1917" s="425" t="s">
        <v>257</v>
      </c>
      <c r="E1917" s="558">
        <f>32.182*E1916</f>
        <v>32.182000000000002</v>
      </c>
      <c r="F1917" s="427">
        <v>14.79</v>
      </c>
      <c r="G1917" s="428">
        <f t="shared" si="198"/>
        <v>475.97</v>
      </c>
      <c r="H1917" s="721"/>
      <c r="I1917" s="154"/>
      <c r="J1917" s="41"/>
    </row>
    <row r="1918" spans="1:10" ht="12" thickBot="1" x14ac:dyDescent="0.3">
      <c r="A1918" s="583"/>
      <c r="B1918" s="461">
        <v>6111</v>
      </c>
      <c r="C1918" s="453" t="s">
        <v>274</v>
      </c>
      <c r="D1918" s="425" t="s">
        <v>257</v>
      </c>
      <c r="E1918" s="558">
        <f>32.191*E1916</f>
        <v>32.191000000000003</v>
      </c>
      <c r="F1918" s="427">
        <v>10.49</v>
      </c>
      <c r="G1918" s="428">
        <f t="shared" si="198"/>
        <v>337.68</v>
      </c>
      <c r="H1918" s="652"/>
      <c r="I1918" s="154"/>
      <c r="J1918" s="41"/>
    </row>
    <row r="1919" spans="1:10" ht="22.5" x14ac:dyDescent="0.25">
      <c r="A1919" s="583"/>
      <c r="B1919" s="313">
        <v>1346</v>
      </c>
      <c r="C1919" s="314" t="s">
        <v>1021</v>
      </c>
      <c r="D1919" s="315" t="s">
        <v>270</v>
      </c>
      <c r="E1919" s="316">
        <f>25*E1916</f>
        <v>25</v>
      </c>
      <c r="F1919" s="522">
        <v>19.71</v>
      </c>
      <c r="G1919" s="349">
        <f t="shared" si="198"/>
        <v>492.75</v>
      </c>
      <c r="H1919" s="563" t="s">
        <v>8</v>
      </c>
      <c r="I1919" s="154"/>
      <c r="J1919" s="41"/>
    </row>
    <row r="1920" spans="1:10" ht="22.5" x14ac:dyDescent="0.25">
      <c r="A1920" s="583"/>
      <c r="B1920" s="313">
        <v>4512</v>
      </c>
      <c r="C1920" s="314" t="s">
        <v>288</v>
      </c>
      <c r="D1920" s="315" t="s">
        <v>232</v>
      </c>
      <c r="E1920" s="316">
        <f>4.44*E1919</f>
        <v>111</v>
      </c>
      <c r="F1920" s="317">
        <v>0.83</v>
      </c>
      <c r="G1920" s="349">
        <f t="shared" si="198"/>
        <v>92.13</v>
      </c>
      <c r="H1920" s="564">
        <f>(G1917+G1918)/E1916</f>
        <v>813.65</v>
      </c>
      <c r="I1920" s="154"/>
      <c r="J1920" s="41"/>
    </row>
    <row r="1921" spans="1:10" ht="22.5" x14ac:dyDescent="0.25">
      <c r="A1921" s="583"/>
      <c r="B1921" s="313">
        <v>4491</v>
      </c>
      <c r="C1921" s="314" t="s">
        <v>287</v>
      </c>
      <c r="D1921" s="315" t="s">
        <v>232</v>
      </c>
      <c r="E1921" s="316">
        <f>2.52*E1919</f>
        <v>63</v>
      </c>
      <c r="F1921" s="317">
        <v>2.61</v>
      </c>
      <c r="G1921" s="349">
        <f t="shared" si="198"/>
        <v>164.43</v>
      </c>
      <c r="H1921" s="804" t="s">
        <v>9</v>
      </c>
      <c r="I1921" s="154"/>
      <c r="J1921" s="41"/>
    </row>
    <row r="1922" spans="1:10" ht="12" thickBot="1" x14ac:dyDescent="0.3">
      <c r="A1922" s="583"/>
      <c r="B1922" s="313">
        <v>5061</v>
      </c>
      <c r="C1922" s="314" t="s">
        <v>277</v>
      </c>
      <c r="D1922" s="315" t="s">
        <v>271</v>
      </c>
      <c r="E1922" s="316">
        <f>0.17*E1919</f>
        <v>4.25</v>
      </c>
      <c r="F1922" s="317">
        <v>7.75</v>
      </c>
      <c r="G1922" s="349">
        <f t="shared" si="198"/>
        <v>32.94</v>
      </c>
      <c r="H1922" s="756">
        <f>F1916-H1920</f>
        <v>2888.68</v>
      </c>
      <c r="I1922" s="154"/>
      <c r="J1922" s="41"/>
    </row>
    <row r="1923" spans="1:10" x14ac:dyDescent="0.25">
      <c r="A1923" s="583"/>
      <c r="B1923" s="313">
        <v>5066</v>
      </c>
      <c r="C1923" s="314" t="s">
        <v>1335</v>
      </c>
      <c r="D1923" s="315" t="s">
        <v>13</v>
      </c>
      <c r="E1923" s="316">
        <f>0.17*E1919</f>
        <v>4.25</v>
      </c>
      <c r="F1923" s="522">
        <v>9.68</v>
      </c>
      <c r="G1923" s="349">
        <f t="shared" si="198"/>
        <v>41.14</v>
      </c>
      <c r="H1923" s="690"/>
      <c r="I1923" s="154"/>
      <c r="J1923" s="41"/>
    </row>
    <row r="1924" spans="1:10" ht="22.5" x14ac:dyDescent="0.25">
      <c r="A1924" s="583"/>
      <c r="B1924" s="313">
        <v>7155</v>
      </c>
      <c r="C1924" s="314" t="s">
        <v>521</v>
      </c>
      <c r="D1924" s="315" t="s">
        <v>270</v>
      </c>
      <c r="E1924" s="316">
        <f>(5.87*3+2.86*9)*0.7*1.1</f>
        <v>33.3795</v>
      </c>
      <c r="F1924" s="522">
        <v>7.84</v>
      </c>
      <c r="G1924" s="349">
        <f t="shared" si="198"/>
        <v>261.7</v>
      </c>
      <c r="H1924" s="690"/>
      <c r="I1924" s="154"/>
      <c r="J1924" s="41"/>
    </row>
    <row r="1925" spans="1:10" x14ac:dyDescent="0.25">
      <c r="A1925" s="583"/>
      <c r="B1925" s="313">
        <v>337</v>
      </c>
      <c r="C1925" s="314" t="s">
        <v>275</v>
      </c>
      <c r="D1925" s="315" t="s">
        <v>271</v>
      </c>
      <c r="E1925" s="560">
        <f>0.02*E1924*2.2</f>
        <v>1.4686980000000001</v>
      </c>
      <c r="F1925" s="317">
        <v>7</v>
      </c>
      <c r="G1925" s="349">
        <f t="shared" si="198"/>
        <v>10.28</v>
      </c>
      <c r="H1925" s="722"/>
      <c r="I1925" s="154"/>
      <c r="J1925" s="41"/>
    </row>
    <row r="1926" spans="1:10" x14ac:dyDescent="0.25">
      <c r="A1926" s="583"/>
      <c r="B1926" s="313">
        <v>1379</v>
      </c>
      <c r="C1926" s="314" t="s">
        <v>522</v>
      </c>
      <c r="D1926" s="315" t="s">
        <v>13</v>
      </c>
      <c r="E1926" s="316">
        <f>426*E1916</f>
        <v>426</v>
      </c>
      <c r="F1926" s="522">
        <v>0.49</v>
      </c>
      <c r="G1926" s="318">
        <f t="shared" si="198"/>
        <v>208.74</v>
      </c>
      <c r="H1926" s="690"/>
      <c r="I1926" s="154"/>
      <c r="J1926" s="41"/>
    </row>
    <row r="1927" spans="1:10" x14ac:dyDescent="0.25">
      <c r="A1927" s="583"/>
      <c r="B1927" s="313">
        <v>370</v>
      </c>
      <c r="C1927" s="314" t="s">
        <v>258</v>
      </c>
      <c r="D1927" s="315" t="s">
        <v>272</v>
      </c>
      <c r="E1927" s="561">
        <f>0.7*0.58*3*0.78</f>
        <v>0.95004</v>
      </c>
      <c r="F1927" s="317">
        <v>72</v>
      </c>
      <c r="G1927" s="349">
        <f>E1927*F1927</f>
        <v>68.400000000000006</v>
      </c>
      <c r="H1927" s="690"/>
      <c r="I1927" s="154"/>
      <c r="J1927" s="41"/>
    </row>
    <row r="1928" spans="1:10" x14ac:dyDescent="0.25">
      <c r="A1928" s="583"/>
      <c r="B1928" s="313">
        <v>4721</v>
      </c>
      <c r="C1928" s="314" t="s">
        <v>284</v>
      </c>
      <c r="D1928" s="315" t="s">
        <v>272</v>
      </c>
      <c r="E1928" s="561">
        <f>0.7*0.58*3*0.85</f>
        <v>1.0353000000000001</v>
      </c>
      <c r="F1928" s="317">
        <v>85.99</v>
      </c>
      <c r="G1928" s="349">
        <f>E1928*F1928</f>
        <v>89.03</v>
      </c>
      <c r="H1928" s="690"/>
      <c r="I1928" s="154"/>
      <c r="J1928" s="41"/>
    </row>
    <row r="1929" spans="1:10" x14ac:dyDescent="0.25">
      <c r="A1929" s="583"/>
      <c r="B1929" s="313">
        <v>2692</v>
      </c>
      <c r="C1929" s="314" t="s">
        <v>286</v>
      </c>
      <c r="D1929" s="315" t="s">
        <v>280</v>
      </c>
      <c r="E1929" s="316">
        <f>0.12*E1919</f>
        <v>3</v>
      </c>
      <c r="F1929" s="317">
        <v>9.16</v>
      </c>
      <c r="G1929" s="349">
        <f>F1929*E1929</f>
        <v>27.48</v>
      </c>
      <c r="H1929" s="690"/>
      <c r="I1929" s="154"/>
      <c r="J1929" s="41"/>
    </row>
    <row r="1930" spans="1:10" x14ac:dyDescent="0.25">
      <c r="A1930" s="583"/>
      <c r="B1930" s="313">
        <v>21108</v>
      </c>
      <c r="C1930" s="314" t="s">
        <v>442</v>
      </c>
      <c r="D1930" s="315" t="s">
        <v>270</v>
      </c>
      <c r="E1930" s="316">
        <f>16.9*E1916</f>
        <v>16.899999999999999</v>
      </c>
      <c r="F1930" s="317">
        <v>72.31</v>
      </c>
      <c r="G1930" s="349">
        <f>F1930*E1930</f>
        <v>1222.04</v>
      </c>
      <c r="H1930" s="690"/>
      <c r="I1930" s="154"/>
      <c r="J1930" s="41"/>
    </row>
    <row r="1931" spans="1:10" ht="22.5" x14ac:dyDescent="0.25">
      <c r="A1931" s="583"/>
      <c r="B1931" s="313">
        <v>37659</v>
      </c>
      <c r="C1931" s="314" t="s">
        <v>444</v>
      </c>
      <c r="D1931" s="315" t="s">
        <v>271</v>
      </c>
      <c r="E1931" s="316">
        <f>9*E1930</f>
        <v>152.1</v>
      </c>
      <c r="F1931" s="317">
        <v>1.03</v>
      </c>
      <c r="G1931" s="349">
        <f>F1931*E1931</f>
        <v>156.66</v>
      </c>
      <c r="H1931" s="690"/>
      <c r="I1931" s="154"/>
      <c r="J1931" s="41"/>
    </row>
    <row r="1932" spans="1:10" ht="12" thickBot="1" x14ac:dyDescent="0.3">
      <c r="A1932" s="584"/>
      <c r="B1932" s="489">
        <v>34357</v>
      </c>
      <c r="C1932" s="490" t="s">
        <v>445</v>
      </c>
      <c r="D1932" s="491" t="s">
        <v>271</v>
      </c>
      <c r="E1932" s="562">
        <f>0.5*E1930</f>
        <v>8.4499999999999993</v>
      </c>
      <c r="F1932" s="355">
        <v>2.48</v>
      </c>
      <c r="G1932" s="495">
        <f>F1932*E1932</f>
        <v>20.96</v>
      </c>
      <c r="H1932" s="690"/>
      <c r="I1932" s="154"/>
      <c r="J1932" s="41"/>
    </row>
    <row r="1933" spans="1:10" ht="22.5" x14ac:dyDescent="0.25">
      <c r="A1933" s="582" t="s">
        <v>1261</v>
      </c>
      <c r="B1933" s="306" t="s">
        <v>1045</v>
      </c>
      <c r="C1933" s="450" t="s">
        <v>1042</v>
      </c>
      <c r="D1933" s="554" t="s">
        <v>268</v>
      </c>
      <c r="E1933" s="555">
        <v>1</v>
      </c>
      <c r="F1933" s="556">
        <f>SUM(G1934:G1939)/E1933</f>
        <v>2207.81</v>
      </c>
      <c r="G1933" s="557">
        <f t="shared" ref="G1933:G1939" si="199">F1933*E1933</f>
        <v>2207.81</v>
      </c>
      <c r="H1933" s="688"/>
      <c r="I1933" s="154"/>
      <c r="J1933" s="41"/>
    </row>
    <row r="1934" spans="1:10" x14ac:dyDescent="0.25">
      <c r="A1934" s="583"/>
      <c r="B1934" s="461">
        <v>12868</v>
      </c>
      <c r="C1934" s="453" t="s">
        <v>1043</v>
      </c>
      <c r="D1934" s="425" t="s">
        <v>257</v>
      </c>
      <c r="E1934" s="558">
        <f>37.6095*E1933</f>
        <v>37.609499999999997</v>
      </c>
      <c r="F1934" s="427">
        <v>13.29</v>
      </c>
      <c r="G1934" s="428">
        <f t="shared" si="199"/>
        <v>499.83</v>
      </c>
      <c r="H1934" s="719"/>
      <c r="I1934" s="154"/>
      <c r="J1934" s="41"/>
    </row>
    <row r="1935" spans="1:10" ht="12" thickBot="1" x14ac:dyDescent="0.3">
      <c r="A1935" s="583"/>
      <c r="B1935" s="461">
        <v>242</v>
      </c>
      <c r="C1935" s="453" t="s">
        <v>1044</v>
      </c>
      <c r="D1935" s="425" t="s">
        <v>257</v>
      </c>
      <c r="E1935" s="558">
        <f>37.6095*E1933</f>
        <v>37.609499999999997</v>
      </c>
      <c r="F1935" s="427">
        <v>11.41</v>
      </c>
      <c r="G1935" s="428">
        <f t="shared" si="199"/>
        <v>429.12</v>
      </c>
      <c r="H1935" s="720"/>
      <c r="I1935" s="154"/>
      <c r="J1935" s="41"/>
    </row>
    <row r="1936" spans="1:10" x14ac:dyDescent="0.25">
      <c r="A1936" s="583"/>
      <c r="B1936" s="313">
        <v>11795</v>
      </c>
      <c r="C1936" s="566" t="s">
        <v>1046</v>
      </c>
      <c r="D1936" s="315" t="s">
        <v>270</v>
      </c>
      <c r="E1936" s="316">
        <v>3.8</v>
      </c>
      <c r="F1936" s="522">
        <v>246.24</v>
      </c>
      <c r="G1936" s="349">
        <f t="shared" si="199"/>
        <v>935.71</v>
      </c>
      <c r="H1936" s="563" t="s">
        <v>8</v>
      </c>
      <c r="I1936" s="154"/>
      <c r="J1936" s="41"/>
    </row>
    <row r="1937" spans="1:11" x14ac:dyDescent="0.25">
      <c r="A1937" s="583"/>
      <c r="B1937" s="313">
        <v>20212</v>
      </c>
      <c r="C1937" s="314" t="s">
        <v>1047</v>
      </c>
      <c r="D1937" s="315" t="s">
        <v>232</v>
      </c>
      <c r="E1937" s="316">
        <f>0.89*8+3.8*2+0.6*2</f>
        <v>15.92</v>
      </c>
      <c r="F1937" s="317">
        <v>9.83</v>
      </c>
      <c r="G1937" s="349">
        <f t="shared" si="199"/>
        <v>156.49</v>
      </c>
      <c r="H1937" s="564">
        <f>(G1934+G1935)/E1933</f>
        <v>928.95</v>
      </c>
      <c r="I1937" s="154"/>
      <c r="J1937" s="41"/>
    </row>
    <row r="1938" spans="1:11" x14ac:dyDescent="0.25">
      <c r="A1938" s="583"/>
      <c r="B1938" s="313">
        <v>20210</v>
      </c>
      <c r="C1938" s="566" t="s">
        <v>1048</v>
      </c>
      <c r="D1938" s="315" t="s">
        <v>232</v>
      </c>
      <c r="E1938" s="316">
        <f>0.48*2+1.16*6</f>
        <v>7.92</v>
      </c>
      <c r="F1938" s="317">
        <v>22.59</v>
      </c>
      <c r="G1938" s="349">
        <f t="shared" si="199"/>
        <v>178.91</v>
      </c>
      <c r="H1938" s="804" t="s">
        <v>9</v>
      </c>
      <c r="I1938" s="154"/>
      <c r="J1938" s="41"/>
    </row>
    <row r="1939" spans="1:11" ht="12" thickBot="1" x14ac:dyDescent="0.3">
      <c r="A1939" s="584"/>
      <c r="B1939" s="489">
        <v>5061</v>
      </c>
      <c r="C1939" s="490" t="s">
        <v>277</v>
      </c>
      <c r="D1939" s="491" t="s">
        <v>271</v>
      </c>
      <c r="E1939" s="492">
        <v>1</v>
      </c>
      <c r="F1939" s="355">
        <v>7.75</v>
      </c>
      <c r="G1939" s="495">
        <f t="shared" si="199"/>
        <v>7.75</v>
      </c>
      <c r="H1939" s="756">
        <f>F1933-H1937</f>
        <v>1278.8599999999999</v>
      </c>
      <c r="I1939" s="154"/>
      <c r="J1939" s="41"/>
    </row>
    <row r="1940" spans="1:11" ht="22.5" x14ac:dyDescent="0.25">
      <c r="A1940" s="582" t="s">
        <v>1262</v>
      </c>
      <c r="B1940" s="306" t="s">
        <v>1045</v>
      </c>
      <c r="C1940" s="450" t="s">
        <v>1049</v>
      </c>
      <c r="D1940" s="554" t="s">
        <v>268</v>
      </c>
      <c r="E1940" s="555">
        <v>1</v>
      </c>
      <c r="F1940" s="556">
        <f>SUM(G1941:G1948)/E1940</f>
        <v>1769.98</v>
      </c>
      <c r="G1940" s="557">
        <f>F1940*E1940</f>
        <v>1769.98</v>
      </c>
      <c r="H1940" s="688"/>
      <c r="I1940" s="154"/>
      <c r="J1940" s="41"/>
    </row>
    <row r="1941" spans="1:11" x14ac:dyDescent="0.25">
      <c r="A1941" s="583"/>
      <c r="B1941" s="461">
        <v>12868</v>
      </c>
      <c r="C1941" s="453" t="s">
        <v>1043</v>
      </c>
      <c r="D1941" s="425" t="s">
        <v>257</v>
      </c>
      <c r="E1941" s="558">
        <v>35</v>
      </c>
      <c r="F1941" s="427">
        <v>13.29</v>
      </c>
      <c r="G1941" s="428">
        <f>F1941*E1941</f>
        <v>465.15</v>
      </c>
      <c r="H1941" s="719"/>
      <c r="I1941" s="154"/>
      <c r="J1941" s="41"/>
    </row>
    <row r="1942" spans="1:11" x14ac:dyDescent="0.25">
      <c r="A1942" s="583"/>
      <c r="B1942" s="461">
        <v>242</v>
      </c>
      <c r="C1942" s="453" t="s">
        <v>1044</v>
      </c>
      <c r="D1942" s="425" t="s">
        <v>257</v>
      </c>
      <c r="E1942" s="558">
        <v>35</v>
      </c>
      <c r="F1942" s="427">
        <v>11.41</v>
      </c>
      <c r="G1942" s="428">
        <f>F1942*E1942</f>
        <v>399.35</v>
      </c>
      <c r="H1942" s="720"/>
      <c r="I1942" s="154"/>
      <c r="J1942" s="41"/>
    </row>
    <row r="1943" spans="1:11" ht="22.5" x14ac:dyDescent="0.25">
      <c r="A1943" s="583"/>
      <c r="B1943" s="461">
        <v>11131</v>
      </c>
      <c r="C1943" s="567" t="s">
        <v>1051</v>
      </c>
      <c r="D1943" s="425" t="s">
        <v>270</v>
      </c>
      <c r="E1943" s="426">
        <f>6*E1940</f>
        <v>6</v>
      </c>
      <c r="F1943" s="427">
        <v>29.48</v>
      </c>
      <c r="G1943" s="428">
        <f>F1943*E1943</f>
        <v>176.88</v>
      </c>
      <c r="H1943" s="720"/>
      <c r="I1943" s="154"/>
      <c r="J1943" s="41"/>
    </row>
    <row r="1944" spans="1:11" ht="21.75" customHeight="1" thickBot="1" x14ac:dyDescent="0.3">
      <c r="A1944" s="583"/>
      <c r="B1944" s="461">
        <v>21113</v>
      </c>
      <c r="C1944" s="567" t="s">
        <v>1050</v>
      </c>
      <c r="D1944" s="425" t="s">
        <v>270</v>
      </c>
      <c r="E1944" s="426">
        <f>6*E1940</f>
        <v>6</v>
      </c>
      <c r="F1944" s="427">
        <v>11.45</v>
      </c>
      <c r="G1944" s="428">
        <f>F1944*E1944</f>
        <v>68.7</v>
      </c>
      <c r="H1944" s="720"/>
      <c r="I1944" s="154"/>
      <c r="J1944" s="41"/>
    </row>
    <row r="1945" spans="1:11" x14ac:dyDescent="0.25">
      <c r="A1945" s="583"/>
      <c r="B1945" s="313">
        <v>11795</v>
      </c>
      <c r="C1945" s="566" t="s">
        <v>1046</v>
      </c>
      <c r="D1945" s="315" t="s">
        <v>270</v>
      </c>
      <c r="E1945" s="316">
        <f>2.15*0.8</f>
        <v>1.72</v>
      </c>
      <c r="F1945" s="522">
        <v>246.24</v>
      </c>
      <c r="G1945" s="349">
        <f t="shared" ref="G1945:G1948" si="200">F1945*E1945</f>
        <v>423.53</v>
      </c>
      <c r="H1945" s="563" t="s">
        <v>8</v>
      </c>
      <c r="I1945" s="154"/>
      <c r="J1945" s="41"/>
    </row>
    <row r="1946" spans="1:11" x14ac:dyDescent="0.25">
      <c r="A1946" s="583"/>
      <c r="B1946" s="313">
        <v>20212</v>
      </c>
      <c r="C1946" s="314" t="s">
        <v>1047</v>
      </c>
      <c r="D1946" s="315" t="s">
        <v>232</v>
      </c>
      <c r="E1946" s="316">
        <f>0.89*6+2.2*2+0.6*2</f>
        <v>10.94</v>
      </c>
      <c r="F1946" s="317">
        <v>9.83</v>
      </c>
      <c r="G1946" s="349">
        <f t="shared" si="200"/>
        <v>107.54</v>
      </c>
      <c r="H1946" s="564">
        <f>(G1941+G1942)/E1940</f>
        <v>864.5</v>
      </c>
      <c r="I1946" s="154"/>
      <c r="J1946" s="41"/>
    </row>
    <row r="1947" spans="1:11" x14ac:dyDescent="0.25">
      <c r="A1947" s="583"/>
      <c r="B1947" s="313">
        <v>20210</v>
      </c>
      <c r="C1947" s="566" t="s">
        <v>1048</v>
      </c>
      <c r="D1947" s="315" t="s">
        <v>232</v>
      </c>
      <c r="E1947" s="316">
        <f>0.48*2+1.1*4</f>
        <v>5.36</v>
      </c>
      <c r="F1947" s="317">
        <v>22.59</v>
      </c>
      <c r="G1947" s="349">
        <f t="shared" si="200"/>
        <v>121.08</v>
      </c>
      <c r="H1947" s="804" t="s">
        <v>9</v>
      </c>
      <c r="I1947" s="154"/>
      <c r="J1947" s="41"/>
    </row>
    <row r="1948" spans="1:11" ht="12" thickBot="1" x14ac:dyDescent="0.3">
      <c r="A1948" s="584"/>
      <c r="B1948" s="489">
        <v>5061</v>
      </c>
      <c r="C1948" s="490" t="s">
        <v>277</v>
      </c>
      <c r="D1948" s="491" t="s">
        <v>271</v>
      </c>
      <c r="E1948" s="492">
        <v>1</v>
      </c>
      <c r="F1948" s="355">
        <v>7.75</v>
      </c>
      <c r="G1948" s="495">
        <f t="shared" si="200"/>
        <v>7.75</v>
      </c>
      <c r="H1948" s="756">
        <f>F1940-H1946</f>
        <v>905.48</v>
      </c>
      <c r="I1948" s="154"/>
      <c r="J1948" s="41"/>
    </row>
    <row r="1949" spans="1:11" ht="18" customHeight="1" thickBot="1" x14ac:dyDescent="0.3">
      <c r="A1949" s="832">
        <v>27</v>
      </c>
      <c r="B1949" s="833"/>
      <c r="C1949" s="357" t="s">
        <v>255</v>
      </c>
      <c r="D1949" s="113"/>
      <c r="E1949" s="114"/>
      <c r="F1949" s="113"/>
      <c r="G1949" s="115"/>
      <c r="H1949" s="563" t="s">
        <v>8</v>
      </c>
      <c r="I1949" s="152"/>
      <c r="J1949" s="41"/>
    </row>
    <row r="1950" spans="1:11" ht="26.25" customHeight="1" x14ac:dyDescent="0.25">
      <c r="A1950" s="582" t="s">
        <v>1263</v>
      </c>
      <c r="B1950" s="581">
        <v>9537</v>
      </c>
      <c r="C1950" s="78" t="s">
        <v>256</v>
      </c>
      <c r="D1950" s="79" t="s">
        <v>270</v>
      </c>
      <c r="E1950" s="80">
        <v>1</v>
      </c>
      <c r="F1950" s="49">
        <f>SUM(G1951:G1952)/E1950</f>
        <v>1.33</v>
      </c>
      <c r="G1950" s="334">
        <f>E1950*F1950</f>
        <v>1.33</v>
      </c>
      <c r="H1950" s="564">
        <f>G1952</f>
        <v>1.2</v>
      </c>
      <c r="I1950" s="228">
        <v>2.0699999999999998</v>
      </c>
      <c r="J1950" s="41"/>
    </row>
    <row r="1951" spans="1:11" x14ac:dyDescent="0.25">
      <c r="A1951" s="583"/>
      <c r="B1951" s="204">
        <v>3</v>
      </c>
      <c r="C1951" s="205" t="s">
        <v>7</v>
      </c>
      <c r="D1951" s="206" t="s">
        <v>280</v>
      </c>
      <c r="E1951" s="241">
        <f>0.05*E1950</f>
        <v>0.05</v>
      </c>
      <c r="F1951" s="208">
        <v>2.67</v>
      </c>
      <c r="G1951" s="210">
        <f>E1951*F1951</f>
        <v>0.13</v>
      </c>
      <c r="H1951" s="804" t="s">
        <v>9</v>
      </c>
      <c r="I1951" s="167"/>
      <c r="J1951" s="41"/>
    </row>
    <row r="1952" spans="1:11" ht="12" thickBot="1" x14ac:dyDescent="0.3">
      <c r="A1952" s="584"/>
      <c r="B1952" s="34">
        <v>6111</v>
      </c>
      <c r="C1952" s="35" t="s">
        <v>274</v>
      </c>
      <c r="D1952" s="36" t="s">
        <v>257</v>
      </c>
      <c r="E1952" s="50">
        <f>0.14*E1950</f>
        <v>0.14000000000000001</v>
      </c>
      <c r="F1952" s="72">
        <v>8.6</v>
      </c>
      <c r="G1952" s="39">
        <f>E1952*F1952</f>
        <v>1.2</v>
      </c>
      <c r="H1952" s="756">
        <f>G1951</f>
        <v>0.13</v>
      </c>
      <c r="I1952" s="168"/>
      <c r="J1952" s="120"/>
      <c r="K1952" s="6"/>
    </row>
    <row r="1953" spans="3:8" x14ac:dyDescent="0.25">
      <c r="H1953" s="117"/>
    </row>
    <row r="1954" spans="3:8" ht="18.75" customHeight="1" x14ac:dyDescent="0.2">
      <c r="D1954" s="640"/>
      <c r="E1954" s="828" t="s">
        <v>1341</v>
      </c>
      <c r="F1954" s="828"/>
      <c r="G1954" s="828"/>
      <c r="H1954" s="117"/>
    </row>
    <row r="1955" spans="3:8" ht="15" x14ac:dyDescent="0.2">
      <c r="C1955" s="639"/>
      <c r="D1955" s="636"/>
      <c r="E1955" s="636"/>
      <c r="F1955" s="636"/>
      <c r="G1955" s="636"/>
      <c r="H1955" s="117"/>
    </row>
    <row r="1956" spans="3:8" x14ac:dyDescent="0.2">
      <c r="C1956" s="643" t="s">
        <v>1265</v>
      </c>
      <c r="D1956" s="641"/>
      <c r="E1956" s="637"/>
      <c r="F1956" s="637"/>
      <c r="G1956" s="638"/>
    </row>
    <row r="1957" spans="3:8" ht="15" customHeight="1" x14ac:dyDescent="0.2">
      <c r="D1957" s="642"/>
      <c r="E1957" s="829" t="s">
        <v>1264</v>
      </c>
      <c r="F1957" s="829"/>
      <c r="G1957" s="829"/>
    </row>
  </sheetData>
  <mergeCells count="54">
    <mergeCell ref="A168:B168"/>
    <mergeCell ref="A291:B291"/>
    <mergeCell ref="A329:B329"/>
    <mergeCell ref="B3:G3"/>
    <mergeCell ref="B1:G1"/>
    <mergeCell ref="A10:B10"/>
    <mergeCell ref="A32:B32"/>
    <mergeCell ref="A75:B75"/>
    <mergeCell ref="B5:G5"/>
    <mergeCell ref="B6:G6"/>
    <mergeCell ref="C32:H32"/>
    <mergeCell ref="C75:H75"/>
    <mergeCell ref="C133:H133"/>
    <mergeCell ref="C168:H168"/>
    <mergeCell ref="C291:H291"/>
    <mergeCell ref="C329:H329"/>
    <mergeCell ref="A335:B335"/>
    <mergeCell ref="A344:B344"/>
    <mergeCell ref="A353:B353"/>
    <mergeCell ref="A372:B372"/>
    <mergeCell ref="A382:B382"/>
    <mergeCell ref="A414:B414"/>
    <mergeCell ref="A641:B641"/>
    <mergeCell ref="A819:B819"/>
    <mergeCell ref="A1024:B1024"/>
    <mergeCell ref="A1165:B1165"/>
    <mergeCell ref="A1173:B1173"/>
    <mergeCell ref="A1236:B1236"/>
    <mergeCell ref="A1252:B1252"/>
    <mergeCell ref="A1275:B1275"/>
    <mergeCell ref="A1298:B1298"/>
    <mergeCell ref="E1954:G1954"/>
    <mergeCell ref="E1957:G1957"/>
    <mergeCell ref="A1517:B1517"/>
    <mergeCell ref="A1591:B1591"/>
    <mergeCell ref="A1669:B1669"/>
    <mergeCell ref="A1711:B1711"/>
    <mergeCell ref="A1949:B1949"/>
    <mergeCell ref="C1711:H1711"/>
    <mergeCell ref="C335:H335"/>
    <mergeCell ref="C344:H344"/>
    <mergeCell ref="C353:H353"/>
    <mergeCell ref="C372:H372"/>
    <mergeCell ref="C382:H382"/>
    <mergeCell ref="C414:H414"/>
    <mergeCell ref="C641:H641"/>
    <mergeCell ref="C1517:H1517"/>
    <mergeCell ref="C1591:H1591"/>
    <mergeCell ref="C1669:H1669"/>
    <mergeCell ref="C819:H819"/>
    <mergeCell ref="C1024:H1024"/>
    <mergeCell ref="C1165:H1165"/>
    <mergeCell ref="C1173:H1173"/>
    <mergeCell ref="C1298:H1298"/>
  </mergeCells>
  <phoneticPr fontId="26" type="noConversion"/>
  <pageMargins left="0.86614173228346458" right="0.19685039370078741" top="0.41" bottom="0.45" header="0.26" footer="0.31496062992125984"/>
  <pageSetup scale="80" orientation="portrait" r:id="rId1"/>
  <headerFooter>
    <oddHeader xml:space="preserve">&amp;R
</oddHeader>
    <oddFooter xml:space="preserve">&amp;R
</oddFooter>
  </headerFooter>
  <rowBreaks count="4" manualBreakCount="4">
    <brk id="604" max="8" man="1"/>
    <brk id="817" max="8" man="1"/>
    <brk id="1394" max="8" man="1"/>
    <brk id="162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COMPOSIÇÃO UNITÁRIA</vt:lpstr>
      <vt:lpstr>'COMPOSIÇÃO UNITÁRIA'!Area_de_impressao</vt:lpstr>
      <vt:lpstr>'COMPOSIÇÃO UNITÁRIA'!Titulos_de_impressao</vt:lpstr>
    </vt:vector>
  </TitlesOfParts>
  <Company>Prefeitura Municipal de Campo Limpo Paulista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fernando.almeida</dc:creator>
  <cp:lastModifiedBy>Cirilo</cp:lastModifiedBy>
  <cp:lastPrinted>2014-08-23T19:23:18Z</cp:lastPrinted>
  <dcterms:created xsi:type="dcterms:W3CDTF">2009-06-08T16:18:21Z</dcterms:created>
  <dcterms:modified xsi:type="dcterms:W3CDTF">2014-08-23T22:11:46Z</dcterms:modified>
</cp:coreProperties>
</file>